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nallfarrar.sharepoint.com/teams/52082f56-e482-411e-bb5b-af5d296e4095/Shared Documents/FBC/8. External Client Sharing/Appendices/"/>
    </mc:Choice>
  </mc:AlternateContent>
  <xr:revisionPtr revIDLastSave="42" documentId="13_ncr:1_{256D7195-6131-4D09-9198-AC932C4AB89A}" xr6:coauthVersionLast="47" xr6:coauthVersionMax="47" xr10:uidLastSave="{E13CE22A-FC5D-5042-A846-B82C817F5A5B}"/>
  <bookViews>
    <workbookView xWindow="7820" yWindow="500" windowWidth="20980" windowHeight="15800" firstSheet="2" activeTab="8" xr2:uid="{00000000-000D-0000-FFFF-FFFF00000000}"/>
  </bookViews>
  <sheets>
    <sheet name="Contents" sheetId="10" r:id="rId1"/>
    <sheet name="1. Instructions" sheetId="6" r:id="rId2"/>
    <sheet name="2. Standing data" sheetId="7" r:id="rId3"/>
    <sheet name="3. Summary" sheetId="1" r:id="rId4"/>
    <sheet name="4. Revenue" sheetId="2" r:id="rId5"/>
    <sheet name="5. Capital" sheetId="5" r:id="rId6"/>
    <sheet name="7c. Capital Charges" sheetId="18" state="hidden" r:id="rId7"/>
    <sheet name="6a. Economic (DCF)" sheetId="50" r:id="rId8"/>
    <sheet name="Sheet4" sheetId="49" r:id="rId9"/>
    <sheet name="7a. Income and Activity" sheetId="38" r:id="rId10"/>
    <sheet name="7b. Activity Phasing" sheetId="39" r:id="rId11"/>
    <sheet name="7c. Validated Activity &amp; £" sheetId="40" r:id="rId12"/>
    <sheet name="8a. National Cost Collection" sheetId="46" r:id="rId13"/>
    <sheet name="8b. Residual Overhead Costs" sheetId="37" r:id="rId14"/>
    <sheet name="Sheet1" sheetId="23" state="hidden" r:id="rId15"/>
    <sheet name="9a. Workforce" sheetId="41" r:id="rId16"/>
    <sheet name="9b. Workforce Phasing" sheetId="42" r:id="rId17"/>
    <sheet name="9c. Workforce Summary" sheetId="43" r:id="rId18"/>
    <sheet name="10a. Sensitivity Optimism Bias" sheetId="24" r:id="rId19"/>
    <sheet name="10b. Sensitivity Inner London" sheetId="45" r:id="rId20"/>
    <sheet name="10d. Sensitivity LOS" sheetId="27" r:id="rId21"/>
    <sheet name="10e. SensitivityAverageTheatre" sheetId="28" r:id="rId22"/>
    <sheet name="10f. Sensitivity Temp Staffing" sheetId="26" r:id="rId23"/>
    <sheet name="10g. SensitivityProcurement" sheetId="47" r:id="rId24"/>
    <sheet name="10h. SensitivityVacantMargin" sheetId="48" r:id="rId25"/>
    <sheet name="10i. Sensitivity Scale" sheetId="29" r:id="rId26"/>
    <sheet name="11. Trust Addenda" sheetId="44" r:id="rId27"/>
    <sheet name="8b. Sensitivity Inner London" sheetId="25" state="hidden" r:id="rId28"/>
    <sheet name="Sheet3" sheetId="30" state="hidden" r:id="rId29"/>
    <sheet name="Sheet2" sheetId="31" state="hidden" r:id="rId30"/>
    <sheet name="9a. VFM Assessment Cost" sheetId="32" state="hidden" r:id="rId31"/>
    <sheet name="9b. VFM Costs" sheetId="34" state="hidden" r:id="rId32"/>
    <sheet name="9c. VFM Incremental Activity" sheetId="35" state="hidden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15" hidden="1">'9a. Workforce'!$A$2:$M$89</definedName>
    <definedName name="_xlnm._FilterDatabase" localSheetId="16" hidden="1">'9b. Workforce Phasing'!$A$4:$O$91</definedName>
    <definedName name="_xlnm.Print_Area" localSheetId="18">'10a. Sensitivity Optimism Bias'!$A$1:$AA$27</definedName>
    <definedName name="_xlnm.Print_Area" localSheetId="22">'10f. Sensitivity Temp Staffing'!$A$1:$H$11</definedName>
    <definedName name="_xlnm.Print_Area" localSheetId="4">'4. Revenue'!$A$1:$H$70</definedName>
  </definedNames>
  <calcPr calcId="191029"/>
  <pivotCaches>
    <pivotCache cacheId="5" r:id="rId3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50" l="1"/>
  <c r="E20" i="50"/>
  <c r="F20" i="50" s="1"/>
  <c r="D20" i="50"/>
  <c r="I19" i="50"/>
  <c r="H19" i="50"/>
  <c r="F19" i="50"/>
  <c r="E19" i="50"/>
  <c r="E21" i="50" s="1"/>
  <c r="D19" i="50"/>
  <c r="C19" i="50"/>
  <c r="C21" i="50" s="1"/>
  <c r="AC18" i="50"/>
  <c r="I17" i="50"/>
  <c r="J17" i="50" s="1"/>
  <c r="H17" i="50"/>
  <c r="G17" i="50"/>
  <c r="G19" i="50" s="1"/>
  <c r="F17" i="50"/>
  <c r="AC16" i="50"/>
  <c r="C8" i="50"/>
  <c r="C7" i="50"/>
  <c r="D34" i="29"/>
  <c r="C34" i="29"/>
  <c r="C10" i="26"/>
  <c r="C4" i="26"/>
  <c r="C5" i="26"/>
  <c r="E5" i="26" s="1"/>
  <c r="C6" i="26"/>
  <c r="E6" i="26" s="1"/>
  <c r="G6" i="26" s="1"/>
  <c r="C7" i="26"/>
  <c r="C8" i="26"/>
  <c r="C9" i="26"/>
  <c r="C3" i="26"/>
  <c r="B10" i="26"/>
  <c r="B4" i="26"/>
  <c r="B6" i="26"/>
  <c r="B7" i="26"/>
  <c r="B8" i="26"/>
  <c r="E9" i="26"/>
  <c r="G9" i="26" s="1"/>
  <c r="E8" i="26"/>
  <c r="H8" i="26" s="1"/>
  <c r="E7" i="26"/>
  <c r="H7" i="26" s="1"/>
  <c r="G4" i="26"/>
  <c r="F4" i="26"/>
  <c r="E4" i="26"/>
  <c r="H4" i="26" s="1"/>
  <c r="E3" i="26"/>
  <c r="H3" i="26" s="1"/>
  <c r="D31" i="29"/>
  <c r="C31" i="29"/>
  <c r="G7" i="48"/>
  <c r="F7" i="48"/>
  <c r="E7" i="48"/>
  <c r="D7" i="48"/>
  <c r="C7" i="48"/>
  <c r="G6" i="48"/>
  <c r="F6" i="48"/>
  <c r="E6" i="48"/>
  <c r="D6" i="48"/>
  <c r="C6" i="48"/>
  <c r="G5" i="48"/>
  <c r="F5" i="48"/>
  <c r="E5" i="48"/>
  <c r="D5" i="48"/>
  <c r="C5" i="48"/>
  <c r="B7" i="48"/>
  <c r="B6" i="48"/>
  <c r="B5" i="48"/>
  <c r="D27" i="29"/>
  <c r="C27" i="29"/>
  <c r="B7" i="47"/>
  <c r="G7" i="47"/>
  <c r="F7" i="47"/>
  <c r="E7" i="47"/>
  <c r="D7" i="47"/>
  <c r="E6" i="47"/>
  <c r="E5" i="47"/>
  <c r="G6" i="47"/>
  <c r="G5" i="47"/>
  <c r="F6" i="47"/>
  <c r="F5" i="47"/>
  <c r="D6" i="47"/>
  <c r="C7" i="47"/>
  <c r="C6" i="47"/>
  <c r="C5" i="47"/>
  <c r="D5" i="47" s="1"/>
  <c r="B6" i="47"/>
  <c r="B5" i="47"/>
  <c r="C35" i="29"/>
  <c r="G18" i="46"/>
  <c r="E17" i="46"/>
  <c r="G16" i="46"/>
  <c r="E16" i="46"/>
  <c r="D16" i="46"/>
  <c r="F16" i="46" s="1"/>
  <c r="C16" i="46"/>
  <c r="F15" i="46"/>
  <c r="E15" i="46"/>
  <c r="G15" i="46" s="1"/>
  <c r="D15" i="46"/>
  <c r="C15" i="46"/>
  <c r="E14" i="46"/>
  <c r="G14" i="46" s="1"/>
  <c r="D14" i="46"/>
  <c r="F14" i="46" s="1"/>
  <c r="C14" i="46"/>
  <c r="G13" i="46"/>
  <c r="F13" i="46"/>
  <c r="E13" i="46"/>
  <c r="D13" i="46"/>
  <c r="C13" i="46"/>
  <c r="E12" i="46"/>
  <c r="G12" i="46" s="1"/>
  <c r="D12" i="46"/>
  <c r="F12" i="46" s="1"/>
  <c r="C12" i="46"/>
  <c r="H8" i="46"/>
  <c r="E8" i="46"/>
  <c r="J7" i="46"/>
  <c r="G7" i="46"/>
  <c r="J6" i="46"/>
  <c r="I6" i="46"/>
  <c r="F6" i="46"/>
  <c r="G6" i="46" s="1"/>
  <c r="I5" i="46"/>
  <c r="J5" i="46" s="1"/>
  <c r="F5" i="46"/>
  <c r="G5" i="46" s="1"/>
  <c r="J4" i="46"/>
  <c r="I4" i="46"/>
  <c r="F4" i="46"/>
  <c r="G4" i="46" s="1"/>
  <c r="I3" i="46"/>
  <c r="J3" i="46" s="1"/>
  <c r="F3" i="46"/>
  <c r="G3" i="46" s="1"/>
  <c r="D3" i="29"/>
  <c r="D4" i="29"/>
  <c r="F7" i="28"/>
  <c r="J19" i="50" l="1"/>
  <c r="K17" i="50"/>
  <c r="F21" i="50"/>
  <c r="G20" i="50"/>
  <c r="H20" i="50" s="1"/>
  <c r="I20" i="50" s="1"/>
  <c r="J20" i="50" s="1"/>
  <c r="K20" i="50" s="1"/>
  <c r="L20" i="50" s="1"/>
  <c r="M20" i="50" s="1"/>
  <c r="N20" i="50" s="1"/>
  <c r="O20" i="50" s="1"/>
  <c r="P20" i="50" s="1"/>
  <c r="Q20" i="50" s="1"/>
  <c r="R20" i="50" s="1"/>
  <c r="S20" i="50" s="1"/>
  <c r="T20" i="50" s="1"/>
  <c r="U20" i="50" s="1"/>
  <c r="V20" i="50" s="1"/>
  <c r="W20" i="50" s="1"/>
  <c r="X20" i="50" s="1"/>
  <c r="Y20" i="50" s="1"/>
  <c r="Z20" i="50" s="1"/>
  <c r="AA20" i="50" s="1"/>
  <c r="H9" i="26"/>
  <c r="H5" i="26"/>
  <c r="G5" i="26"/>
  <c r="F5" i="26"/>
  <c r="F9" i="26"/>
  <c r="F3" i="26"/>
  <c r="G3" i="26"/>
  <c r="G8" i="26"/>
  <c r="F8" i="26"/>
  <c r="F7" i="26"/>
  <c r="G7" i="26"/>
  <c r="H6" i="26"/>
  <c r="F6" i="26"/>
  <c r="B8" i="48"/>
  <c r="C8" i="48"/>
  <c r="F18" i="46"/>
  <c r="F19" i="46" s="1"/>
  <c r="F17" i="46"/>
  <c r="G8" i="46"/>
  <c r="G17" i="46"/>
  <c r="G19" i="46" s="1"/>
  <c r="J8" i="46"/>
  <c r="D17" i="46"/>
  <c r="C7" i="29"/>
  <c r="E16" i="45"/>
  <c r="E15" i="45"/>
  <c r="B15" i="45"/>
  <c r="D7" i="29"/>
  <c r="C15" i="29"/>
  <c r="D15" i="29"/>
  <c r="F8" i="28"/>
  <c r="G8" i="28"/>
  <c r="H8" i="28" s="1"/>
  <c r="G7" i="28"/>
  <c r="H7" i="28" s="1"/>
  <c r="E8" i="28"/>
  <c r="E7" i="28"/>
  <c r="E3" i="28"/>
  <c r="E4" i="28"/>
  <c r="B5" i="27"/>
  <c r="B12" i="45"/>
  <c r="D11" i="45"/>
  <c r="E11" i="45" s="1"/>
  <c r="D10" i="45"/>
  <c r="E10" i="45" s="1"/>
  <c r="D9" i="45"/>
  <c r="D8" i="45"/>
  <c r="E8" i="45" s="1"/>
  <c r="D7" i="45"/>
  <c r="D6" i="45"/>
  <c r="E6" i="45" s="1"/>
  <c r="D5" i="45"/>
  <c r="E5" i="45" s="1"/>
  <c r="E12" i="45" s="1"/>
  <c r="I21" i="50" l="1"/>
  <c r="G21" i="50"/>
  <c r="L17" i="50"/>
  <c r="K19" i="50"/>
  <c r="K21" i="50" s="1"/>
  <c r="J21" i="50"/>
  <c r="H21" i="50"/>
  <c r="E8" i="48"/>
  <c r="D8" i="48"/>
  <c r="G12" i="44"/>
  <c r="G11" i="44"/>
  <c r="E10" i="44"/>
  <c r="G10" i="44" s="1"/>
  <c r="G7" i="44"/>
  <c r="E4" i="44"/>
  <c r="D4" i="44"/>
  <c r="C4" i="44"/>
  <c r="B4" i="44"/>
  <c r="F3" i="44"/>
  <c r="F4" i="44" s="1"/>
  <c r="E3" i="44"/>
  <c r="D3" i="44"/>
  <c r="D5" i="44" s="1"/>
  <c r="C3" i="44"/>
  <c r="B3" i="44"/>
  <c r="L19" i="50" l="1"/>
  <c r="L21" i="50" s="1"/>
  <c r="M17" i="50"/>
  <c r="F8" i="48"/>
  <c r="G8" i="48"/>
  <c r="C5" i="44"/>
  <c r="B5" i="44"/>
  <c r="E5" i="44"/>
  <c r="G4" i="44"/>
  <c r="G3" i="44"/>
  <c r="G5" i="44" s="1"/>
  <c r="G6" i="44" s="1"/>
  <c r="G8" i="44" s="1"/>
  <c r="F5" i="44"/>
  <c r="M19" i="50" l="1"/>
  <c r="N17" i="50"/>
  <c r="K47" i="2"/>
  <c r="L47" i="2" s="1"/>
  <c r="M47" i="2" s="1"/>
  <c r="K46" i="2"/>
  <c r="L46" i="2" s="1"/>
  <c r="M46" i="2" s="1"/>
  <c r="K44" i="2"/>
  <c r="L44" i="2" s="1"/>
  <c r="M44" i="2" s="1"/>
  <c r="J46" i="2"/>
  <c r="J22" i="2"/>
  <c r="K22" i="2" s="1"/>
  <c r="L22" i="2" s="1"/>
  <c r="M22" i="2" s="1"/>
  <c r="I22" i="2"/>
  <c r="I46" i="2"/>
  <c r="N19" i="50" l="1"/>
  <c r="N21" i="50" s="1"/>
  <c r="O17" i="50"/>
  <c r="M21" i="50"/>
  <c r="H10" i="41"/>
  <c r="H11" i="41"/>
  <c r="H12" i="41"/>
  <c r="P17" i="50" l="1"/>
  <c r="O19" i="50"/>
  <c r="O21" i="50" s="1"/>
  <c r="K10" i="38"/>
  <c r="J10" i="38"/>
  <c r="I10" i="38"/>
  <c r="H10" i="38"/>
  <c r="M33" i="41"/>
  <c r="H33" i="41"/>
  <c r="M72" i="41"/>
  <c r="H72" i="41"/>
  <c r="Q17" i="50" l="1"/>
  <c r="P19" i="50"/>
  <c r="P21" i="50" s="1"/>
  <c r="J43" i="2"/>
  <c r="Q19" i="50" l="1"/>
  <c r="Q21" i="50" s="1"/>
  <c r="R17" i="50"/>
  <c r="K43" i="2"/>
  <c r="L43" i="2" s="1"/>
  <c r="M43" i="2" s="1"/>
  <c r="I47" i="2"/>
  <c r="I61" i="2"/>
  <c r="I60" i="2"/>
  <c r="J20" i="2"/>
  <c r="K20" i="2"/>
  <c r="L20" i="2"/>
  <c r="M20" i="2"/>
  <c r="M38" i="2"/>
  <c r="L38" i="2"/>
  <c r="K38" i="2"/>
  <c r="J38" i="2"/>
  <c r="I38" i="2"/>
  <c r="H38" i="2"/>
  <c r="G38" i="2"/>
  <c r="F38" i="2"/>
  <c r="E38" i="2"/>
  <c r="D38" i="2"/>
  <c r="M37" i="2"/>
  <c r="L37" i="2"/>
  <c r="K37" i="2"/>
  <c r="J37" i="2"/>
  <c r="I37" i="2"/>
  <c r="H37" i="2"/>
  <c r="G37" i="2"/>
  <c r="F37" i="2"/>
  <c r="E37" i="2"/>
  <c r="D37" i="2"/>
  <c r="M36" i="2"/>
  <c r="L36" i="2"/>
  <c r="K36" i="2"/>
  <c r="J36" i="2"/>
  <c r="I36" i="2"/>
  <c r="H36" i="2"/>
  <c r="G36" i="2"/>
  <c r="F36" i="2"/>
  <c r="E36" i="2"/>
  <c r="D36" i="2"/>
  <c r="M35" i="2"/>
  <c r="L35" i="2"/>
  <c r="K35" i="2"/>
  <c r="J35" i="2"/>
  <c r="I35" i="2"/>
  <c r="H35" i="2"/>
  <c r="G35" i="2"/>
  <c r="F35" i="2"/>
  <c r="E35" i="2"/>
  <c r="D35" i="2"/>
  <c r="M34" i="2"/>
  <c r="L34" i="2"/>
  <c r="K34" i="2"/>
  <c r="J34" i="2"/>
  <c r="I34" i="2"/>
  <c r="H34" i="2"/>
  <c r="G34" i="2"/>
  <c r="F34" i="2"/>
  <c r="E34" i="2"/>
  <c r="D34" i="2"/>
  <c r="M33" i="2"/>
  <c r="L33" i="2"/>
  <c r="K33" i="2"/>
  <c r="J33" i="2"/>
  <c r="I33" i="2"/>
  <c r="H33" i="2"/>
  <c r="G33" i="2"/>
  <c r="F33" i="2"/>
  <c r="E33" i="2"/>
  <c r="D33" i="2"/>
  <c r="M32" i="2"/>
  <c r="L32" i="2"/>
  <c r="K32" i="2"/>
  <c r="J32" i="2"/>
  <c r="I32" i="2"/>
  <c r="H32" i="2"/>
  <c r="G32" i="2"/>
  <c r="F32" i="2"/>
  <c r="E32" i="2"/>
  <c r="J40" i="2" s="1" a="1"/>
  <c r="J40" i="2" s="1"/>
  <c r="D32" i="2"/>
  <c r="J10" i="42"/>
  <c r="L10" i="42" s="1"/>
  <c r="N10" i="42" s="1"/>
  <c r="O3" i="42"/>
  <c r="M3" i="42"/>
  <c r="K3" i="42"/>
  <c r="I11" i="42"/>
  <c r="K11" i="42" s="1"/>
  <c r="M11" i="42" s="1"/>
  <c r="O11" i="42" s="1"/>
  <c r="I59" i="42"/>
  <c r="K59" i="42" s="1"/>
  <c r="M59" i="42" s="1"/>
  <c r="O59" i="42" s="1"/>
  <c r="I62" i="42"/>
  <c r="K62" i="42" s="1"/>
  <c r="M62" i="42" s="1"/>
  <c r="O62" i="42" s="1"/>
  <c r="I67" i="42"/>
  <c r="K67" i="42" s="1"/>
  <c r="M67" i="42" s="1"/>
  <c r="O67" i="42" s="1"/>
  <c r="I69" i="42"/>
  <c r="K69" i="42" s="1"/>
  <c r="M69" i="42" s="1"/>
  <c r="O69" i="42" s="1"/>
  <c r="I70" i="42"/>
  <c r="K70" i="42" s="1"/>
  <c r="M70" i="42" s="1"/>
  <c r="O70" i="42" s="1"/>
  <c r="I80" i="42"/>
  <c r="K80" i="42" s="1"/>
  <c r="M80" i="42" s="1"/>
  <c r="O80" i="42" s="1"/>
  <c r="I81" i="42"/>
  <c r="K81" i="42" s="1"/>
  <c r="M81" i="42" s="1"/>
  <c r="O81" i="42" s="1"/>
  <c r="I87" i="42"/>
  <c r="K87" i="42" s="1"/>
  <c r="M87" i="42" s="1"/>
  <c r="O87" i="42" s="1"/>
  <c r="I88" i="42"/>
  <c r="K88" i="42" s="1"/>
  <c r="M88" i="42" s="1"/>
  <c r="O88" i="42" s="1"/>
  <c r="I89" i="42"/>
  <c r="K89" i="42" s="1"/>
  <c r="M89" i="42" s="1"/>
  <c r="O89" i="42" s="1"/>
  <c r="I90" i="42"/>
  <c r="K90" i="42" s="1"/>
  <c r="M90" i="42" s="1"/>
  <c r="O90" i="42" s="1"/>
  <c r="H6" i="42"/>
  <c r="H7" i="42"/>
  <c r="J7" i="42" s="1"/>
  <c r="L7" i="42" s="1"/>
  <c r="N7" i="42" s="1"/>
  <c r="H8" i="42"/>
  <c r="J8" i="42" s="1"/>
  <c r="L8" i="42" s="1"/>
  <c r="N8" i="42" s="1"/>
  <c r="H9" i="42"/>
  <c r="J9" i="42" s="1"/>
  <c r="L9" i="42" s="1"/>
  <c r="N9" i="42" s="1"/>
  <c r="H10" i="42"/>
  <c r="H11" i="42"/>
  <c r="J11" i="42" s="1"/>
  <c r="L11" i="42" s="1"/>
  <c r="N11" i="42" s="1"/>
  <c r="H12" i="42"/>
  <c r="J12" i="42" s="1"/>
  <c r="L12" i="42" s="1"/>
  <c r="N12" i="42" s="1"/>
  <c r="H13" i="42"/>
  <c r="J13" i="42" s="1"/>
  <c r="L13" i="42" s="1"/>
  <c r="N13" i="42" s="1"/>
  <c r="H14" i="42"/>
  <c r="J14" i="42" s="1"/>
  <c r="L14" i="42" s="1"/>
  <c r="N14" i="42" s="1"/>
  <c r="H15" i="42"/>
  <c r="J15" i="42" s="1"/>
  <c r="L15" i="42" s="1"/>
  <c r="N15" i="42" s="1"/>
  <c r="H16" i="42"/>
  <c r="J16" i="42" s="1"/>
  <c r="L16" i="42" s="1"/>
  <c r="N16" i="42" s="1"/>
  <c r="H17" i="42"/>
  <c r="J17" i="42" s="1"/>
  <c r="L17" i="42" s="1"/>
  <c r="N17" i="42" s="1"/>
  <c r="H18" i="42"/>
  <c r="J18" i="42" s="1"/>
  <c r="L18" i="42" s="1"/>
  <c r="N18" i="42" s="1"/>
  <c r="H19" i="42"/>
  <c r="J19" i="42" s="1"/>
  <c r="L19" i="42" s="1"/>
  <c r="N19" i="42" s="1"/>
  <c r="H20" i="42"/>
  <c r="J20" i="42" s="1"/>
  <c r="L20" i="42" s="1"/>
  <c r="N20" i="42" s="1"/>
  <c r="H21" i="42"/>
  <c r="J21" i="42" s="1"/>
  <c r="L21" i="42" s="1"/>
  <c r="N21" i="42" s="1"/>
  <c r="H22" i="42"/>
  <c r="J22" i="42" s="1"/>
  <c r="L22" i="42" s="1"/>
  <c r="N22" i="42" s="1"/>
  <c r="H23" i="42"/>
  <c r="J23" i="42" s="1"/>
  <c r="L23" i="42" s="1"/>
  <c r="N23" i="42" s="1"/>
  <c r="H24" i="42"/>
  <c r="J24" i="42" s="1"/>
  <c r="L24" i="42" s="1"/>
  <c r="N24" i="42" s="1"/>
  <c r="H25" i="42"/>
  <c r="J25" i="42" s="1"/>
  <c r="L25" i="42" s="1"/>
  <c r="N25" i="42" s="1"/>
  <c r="H26" i="42"/>
  <c r="J26" i="42" s="1"/>
  <c r="L26" i="42" s="1"/>
  <c r="N26" i="42" s="1"/>
  <c r="H27" i="42"/>
  <c r="J27" i="42" s="1"/>
  <c r="L27" i="42" s="1"/>
  <c r="N27" i="42" s="1"/>
  <c r="H28" i="42"/>
  <c r="J28" i="42" s="1"/>
  <c r="L28" i="42" s="1"/>
  <c r="N28" i="42" s="1"/>
  <c r="H29" i="42"/>
  <c r="J29" i="42" s="1"/>
  <c r="L29" i="42" s="1"/>
  <c r="N29" i="42" s="1"/>
  <c r="H30" i="42"/>
  <c r="J30" i="42" s="1"/>
  <c r="L30" i="42" s="1"/>
  <c r="N30" i="42" s="1"/>
  <c r="H31" i="42"/>
  <c r="J31" i="42" s="1"/>
  <c r="L31" i="42" s="1"/>
  <c r="N31" i="42" s="1"/>
  <c r="H32" i="42"/>
  <c r="J32" i="42" s="1"/>
  <c r="L32" i="42" s="1"/>
  <c r="N32" i="42" s="1"/>
  <c r="H33" i="42"/>
  <c r="J33" i="42" s="1"/>
  <c r="L33" i="42" s="1"/>
  <c r="N33" i="42" s="1"/>
  <c r="H34" i="42"/>
  <c r="J34" i="42" s="1"/>
  <c r="L34" i="42" s="1"/>
  <c r="N34" i="42" s="1"/>
  <c r="H35" i="42"/>
  <c r="J35" i="42" s="1"/>
  <c r="L35" i="42" s="1"/>
  <c r="N35" i="42" s="1"/>
  <c r="H36" i="42"/>
  <c r="J36" i="42" s="1"/>
  <c r="L36" i="42" s="1"/>
  <c r="N36" i="42" s="1"/>
  <c r="H37" i="42"/>
  <c r="J37" i="42" s="1"/>
  <c r="L37" i="42" s="1"/>
  <c r="N37" i="42" s="1"/>
  <c r="H38" i="42"/>
  <c r="J38" i="42" s="1"/>
  <c r="L38" i="42" s="1"/>
  <c r="N38" i="42" s="1"/>
  <c r="H39" i="42"/>
  <c r="J39" i="42" s="1"/>
  <c r="L39" i="42" s="1"/>
  <c r="N39" i="42" s="1"/>
  <c r="H40" i="42"/>
  <c r="J40" i="42" s="1"/>
  <c r="L40" i="42" s="1"/>
  <c r="N40" i="42" s="1"/>
  <c r="H41" i="42"/>
  <c r="J41" i="42" s="1"/>
  <c r="L41" i="42" s="1"/>
  <c r="N41" i="42" s="1"/>
  <c r="H42" i="42"/>
  <c r="J42" i="42" s="1"/>
  <c r="L42" i="42" s="1"/>
  <c r="N42" i="42" s="1"/>
  <c r="H43" i="42"/>
  <c r="J43" i="42" s="1"/>
  <c r="L43" i="42" s="1"/>
  <c r="N43" i="42" s="1"/>
  <c r="H44" i="42"/>
  <c r="J44" i="42" s="1"/>
  <c r="L44" i="42" s="1"/>
  <c r="N44" i="42" s="1"/>
  <c r="H45" i="42"/>
  <c r="J45" i="42" s="1"/>
  <c r="L45" i="42" s="1"/>
  <c r="N45" i="42" s="1"/>
  <c r="H46" i="42"/>
  <c r="J46" i="42" s="1"/>
  <c r="L46" i="42" s="1"/>
  <c r="N46" i="42" s="1"/>
  <c r="H47" i="42"/>
  <c r="J47" i="42" s="1"/>
  <c r="L47" i="42" s="1"/>
  <c r="N47" i="42" s="1"/>
  <c r="H48" i="42"/>
  <c r="J48" i="42" s="1"/>
  <c r="L48" i="42" s="1"/>
  <c r="N48" i="42" s="1"/>
  <c r="H49" i="42"/>
  <c r="J49" i="42" s="1"/>
  <c r="L49" i="42" s="1"/>
  <c r="N49" i="42" s="1"/>
  <c r="H50" i="42"/>
  <c r="J50" i="42" s="1"/>
  <c r="L50" i="42" s="1"/>
  <c r="N50" i="42" s="1"/>
  <c r="H51" i="42"/>
  <c r="J51" i="42" s="1"/>
  <c r="L51" i="42" s="1"/>
  <c r="N51" i="42" s="1"/>
  <c r="H52" i="42"/>
  <c r="J52" i="42" s="1"/>
  <c r="L52" i="42" s="1"/>
  <c r="N52" i="42" s="1"/>
  <c r="H53" i="42"/>
  <c r="J53" i="42" s="1"/>
  <c r="L53" i="42" s="1"/>
  <c r="N53" i="42" s="1"/>
  <c r="H54" i="42"/>
  <c r="J54" i="42" s="1"/>
  <c r="L54" i="42" s="1"/>
  <c r="N54" i="42" s="1"/>
  <c r="H55" i="42"/>
  <c r="J55" i="42" s="1"/>
  <c r="L55" i="42" s="1"/>
  <c r="N55" i="42" s="1"/>
  <c r="H56" i="42"/>
  <c r="J56" i="42" s="1"/>
  <c r="L56" i="42" s="1"/>
  <c r="N56" i="42" s="1"/>
  <c r="H57" i="42"/>
  <c r="J57" i="42" s="1"/>
  <c r="L57" i="42" s="1"/>
  <c r="N57" i="42" s="1"/>
  <c r="H58" i="42"/>
  <c r="J58" i="42" s="1"/>
  <c r="L58" i="42" s="1"/>
  <c r="N58" i="42" s="1"/>
  <c r="H59" i="42"/>
  <c r="J59" i="42" s="1"/>
  <c r="L59" i="42" s="1"/>
  <c r="N59" i="42" s="1"/>
  <c r="H60" i="42"/>
  <c r="J60" i="42" s="1"/>
  <c r="L60" i="42" s="1"/>
  <c r="N60" i="42" s="1"/>
  <c r="H61" i="42"/>
  <c r="J61" i="42" s="1"/>
  <c r="L61" i="42" s="1"/>
  <c r="N61" i="42" s="1"/>
  <c r="H62" i="42"/>
  <c r="J62" i="42" s="1"/>
  <c r="L62" i="42" s="1"/>
  <c r="N62" i="42" s="1"/>
  <c r="H63" i="42"/>
  <c r="J63" i="42" s="1"/>
  <c r="L63" i="42" s="1"/>
  <c r="N63" i="42" s="1"/>
  <c r="H64" i="42"/>
  <c r="J64" i="42" s="1"/>
  <c r="L64" i="42" s="1"/>
  <c r="N64" i="42" s="1"/>
  <c r="H65" i="42"/>
  <c r="J65" i="42" s="1"/>
  <c r="L65" i="42" s="1"/>
  <c r="N65" i="42" s="1"/>
  <c r="H66" i="42"/>
  <c r="J66" i="42" s="1"/>
  <c r="L66" i="42" s="1"/>
  <c r="N66" i="42" s="1"/>
  <c r="H67" i="42"/>
  <c r="J67" i="42" s="1"/>
  <c r="L67" i="42" s="1"/>
  <c r="N67" i="42" s="1"/>
  <c r="H68" i="42"/>
  <c r="J68" i="42" s="1"/>
  <c r="L68" i="42" s="1"/>
  <c r="N68" i="42" s="1"/>
  <c r="H69" i="42"/>
  <c r="J69" i="42" s="1"/>
  <c r="L69" i="42" s="1"/>
  <c r="N69" i="42" s="1"/>
  <c r="H70" i="42"/>
  <c r="J70" i="42" s="1"/>
  <c r="L70" i="42" s="1"/>
  <c r="N70" i="42" s="1"/>
  <c r="H71" i="42"/>
  <c r="J71" i="42" s="1"/>
  <c r="L71" i="42" s="1"/>
  <c r="N71" i="42" s="1"/>
  <c r="H72" i="42"/>
  <c r="J72" i="42" s="1"/>
  <c r="L72" i="42" s="1"/>
  <c r="N72" i="42" s="1"/>
  <c r="H73" i="42"/>
  <c r="J73" i="42" s="1"/>
  <c r="L73" i="42" s="1"/>
  <c r="N73" i="42" s="1"/>
  <c r="H74" i="42"/>
  <c r="J74" i="42" s="1"/>
  <c r="L74" i="42" s="1"/>
  <c r="N74" i="42" s="1"/>
  <c r="H75" i="42"/>
  <c r="J75" i="42" s="1"/>
  <c r="L75" i="42" s="1"/>
  <c r="N75" i="42" s="1"/>
  <c r="H76" i="42"/>
  <c r="J76" i="42" s="1"/>
  <c r="L76" i="42" s="1"/>
  <c r="N76" i="42" s="1"/>
  <c r="H77" i="42"/>
  <c r="J77" i="42" s="1"/>
  <c r="L77" i="42" s="1"/>
  <c r="N77" i="42" s="1"/>
  <c r="H78" i="42"/>
  <c r="J78" i="42" s="1"/>
  <c r="L78" i="42" s="1"/>
  <c r="N78" i="42" s="1"/>
  <c r="H79" i="42"/>
  <c r="J79" i="42" s="1"/>
  <c r="L79" i="42" s="1"/>
  <c r="N79" i="42" s="1"/>
  <c r="H80" i="42"/>
  <c r="J80" i="42" s="1"/>
  <c r="L80" i="42" s="1"/>
  <c r="N80" i="42" s="1"/>
  <c r="H81" i="42"/>
  <c r="J81" i="42" s="1"/>
  <c r="L81" i="42" s="1"/>
  <c r="N81" i="42" s="1"/>
  <c r="H82" i="42"/>
  <c r="J82" i="42" s="1"/>
  <c r="L82" i="42" s="1"/>
  <c r="N82" i="42" s="1"/>
  <c r="H83" i="42"/>
  <c r="J83" i="42" s="1"/>
  <c r="L83" i="42" s="1"/>
  <c r="N83" i="42" s="1"/>
  <c r="H84" i="42"/>
  <c r="J84" i="42" s="1"/>
  <c r="L84" i="42" s="1"/>
  <c r="N84" i="42" s="1"/>
  <c r="H85" i="42"/>
  <c r="J85" i="42" s="1"/>
  <c r="L85" i="42" s="1"/>
  <c r="N85" i="42" s="1"/>
  <c r="H86" i="42"/>
  <c r="J86" i="42" s="1"/>
  <c r="L86" i="42" s="1"/>
  <c r="N86" i="42" s="1"/>
  <c r="H87" i="42"/>
  <c r="J87" i="42" s="1"/>
  <c r="L87" i="42" s="1"/>
  <c r="N87" i="42" s="1"/>
  <c r="H88" i="42"/>
  <c r="J88" i="42" s="1"/>
  <c r="L88" i="42" s="1"/>
  <c r="N88" i="42" s="1"/>
  <c r="H89" i="42"/>
  <c r="J89" i="42" s="1"/>
  <c r="L89" i="42" s="1"/>
  <c r="N89" i="42" s="1"/>
  <c r="H90" i="42"/>
  <c r="J90" i="42" s="1"/>
  <c r="L90" i="42" s="1"/>
  <c r="N90" i="42" s="1"/>
  <c r="F68" i="42"/>
  <c r="H5" i="42"/>
  <c r="J5" i="42" s="1"/>
  <c r="L5" i="42" s="1"/>
  <c r="N5" i="42" s="1"/>
  <c r="R19" i="50" l="1"/>
  <c r="R21" i="50" s="1"/>
  <c r="S17" i="50"/>
  <c r="J45" i="2"/>
  <c r="I39" i="2" a="1"/>
  <c r="I39" i="2" s="1"/>
  <c r="I40" i="2" a="1"/>
  <c r="I40" i="2" s="1"/>
  <c r="K39" i="2" a="1"/>
  <c r="K39" i="2" s="1"/>
  <c r="K45" i="2" s="1"/>
  <c r="K40" i="2" a="1"/>
  <c r="K40" i="2" s="1"/>
  <c r="L40" i="2" a="1"/>
  <c r="L40" i="2" s="1"/>
  <c r="M39" i="2" a="1"/>
  <c r="M39" i="2" s="1"/>
  <c r="M45" i="2" s="1"/>
  <c r="M40" i="2" a="1"/>
  <c r="M40" i="2" s="1"/>
  <c r="J39" i="2" a="1"/>
  <c r="J39" i="2" s="1"/>
  <c r="L39" i="2" a="1"/>
  <c r="L39" i="2" s="1"/>
  <c r="L45" i="2" s="1"/>
  <c r="H91" i="42"/>
  <c r="J6" i="42"/>
  <c r="L6" i="42" s="1"/>
  <c r="N6" i="42" s="1"/>
  <c r="N91" i="42" s="1"/>
  <c r="S19" i="50" l="1"/>
  <c r="S21" i="50" s="1"/>
  <c r="T17" i="50"/>
  <c r="J91" i="42"/>
  <c r="L91" i="42"/>
  <c r="H15" i="41"/>
  <c r="M15" i="41"/>
  <c r="I17" i="42" s="1"/>
  <c r="K17" i="42" s="1"/>
  <c r="M17" i="42" s="1"/>
  <c r="O17" i="42" s="1"/>
  <c r="H19" i="41"/>
  <c r="H18" i="41"/>
  <c r="M19" i="41"/>
  <c r="I21" i="42" s="1"/>
  <c r="K21" i="42" s="1"/>
  <c r="M21" i="42" s="1"/>
  <c r="O21" i="42" s="1"/>
  <c r="M18" i="41"/>
  <c r="I20" i="42" s="1"/>
  <c r="K20" i="42" s="1"/>
  <c r="M20" i="42" s="1"/>
  <c r="O20" i="42" s="1"/>
  <c r="H17" i="41"/>
  <c r="M17" i="41"/>
  <c r="I19" i="42" s="1"/>
  <c r="K19" i="42" s="1"/>
  <c r="M19" i="42" s="1"/>
  <c r="O19" i="42" s="1"/>
  <c r="H16" i="41"/>
  <c r="M16" i="41"/>
  <c r="I18" i="42" s="1"/>
  <c r="K18" i="42" s="1"/>
  <c r="M18" i="42" s="1"/>
  <c r="O18" i="42" s="1"/>
  <c r="M36" i="41"/>
  <c r="I38" i="42" s="1"/>
  <c r="H36" i="41"/>
  <c r="M41" i="41"/>
  <c r="I43" i="42" s="1"/>
  <c r="K43" i="42" s="1"/>
  <c r="M43" i="42" s="1"/>
  <c r="O43" i="42" s="1"/>
  <c r="H41" i="41"/>
  <c r="H40" i="41"/>
  <c r="M40" i="41"/>
  <c r="I42" i="42" s="1"/>
  <c r="K42" i="42" s="1"/>
  <c r="M42" i="42" s="1"/>
  <c r="O42" i="42" s="1"/>
  <c r="M35" i="41"/>
  <c r="I37" i="42" s="1"/>
  <c r="K37" i="42" s="1"/>
  <c r="M37" i="42" s="1"/>
  <c r="O37" i="42" s="1"/>
  <c r="H35" i="41"/>
  <c r="H9" i="41"/>
  <c r="M9" i="41"/>
  <c r="M10" i="41"/>
  <c r="I12" i="42" s="1"/>
  <c r="K12" i="42" s="1"/>
  <c r="M12" i="42" s="1"/>
  <c r="O12" i="42" s="1"/>
  <c r="M11" i="41"/>
  <c r="I13" i="42" s="1"/>
  <c r="K13" i="42" s="1"/>
  <c r="M13" i="42" s="1"/>
  <c r="O13" i="42" s="1"/>
  <c r="M12" i="41"/>
  <c r="I14" i="42" s="1"/>
  <c r="K14" i="42" s="1"/>
  <c r="M14" i="42" s="1"/>
  <c r="O14" i="42" s="1"/>
  <c r="M7" i="41"/>
  <c r="I9" i="42" s="1"/>
  <c r="K9" i="42" s="1"/>
  <c r="M9" i="42" s="1"/>
  <c r="O9" i="42" s="1"/>
  <c r="H7" i="41"/>
  <c r="H8" i="41"/>
  <c r="M8" i="41"/>
  <c r="I10" i="42" s="1"/>
  <c r="K10" i="42" s="1"/>
  <c r="M10" i="42" s="1"/>
  <c r="O10" i="42" s="1"/>
  <c r="H6" i="41"/>
  <c r="M6" i="41"/>
  <c r="I8" i="42" s="1"/>
  <c r="K8" i="42" s="1"/>
  <c r="M8" i="42" s="1"/>
  <c r="O8" i="42" s="1"/>
  <c r="M24" i="41"/>
  <c r="I26" i="42" s="1"/>
  <c r="K26" i="42" s="1"/>
  <c r="M26" i="42" s="1"/>
  <c r="O26" i="42" s="1"/>
  <c r="H24" i="41"/>
  <c r="M84" i="41"/>
  <c r="I86" i="42" s="1"/>
  <c r="K86" i="42" s="1"/>
  <c r="M86" i="42" s="1"/>
  <c r="O86" i="42" s="1"/>
  <c r="H42" i="41"/>
  <c r="H39" i="41"/>
  <c r="H32" i="41"/>
  <c r="H27" i="41"/>
  <c r="M27" i="41"/>
  <c r="I29" i="42" s="1"/>
  <c r="K29" i="42" s="1"/>
  <c r="M29" i="42" s="1"/>
  <c r="O29" i="42" s="1"/>
  <c r="M32" i="41"/>
  <c r="I34" i="42" s="1"/>
  <c r="K34" i="42" s="1"/>
  <c r="M34" i="42" s="1"/>
  <c r="O34" i="42" s="1"/>
  <c r="M39" i="41"/>
  <c r="I41" i="42" s="1"/>
  <c r="K41" i="42" s="1"/>
  <c r="M41" i="42" s="1"/>
  <c r="O41" i="42" s="1"/>
  <c r="M42" i="41"/>
  <c r="I44" i="42" s="1"/>
  <c r="K44" i="42" s="1"/>
  <c r="M44" i="42" s="1"/>
  <c r="O44" i="42" s="1"/>
  <c r="M22" i="41"/>
  <c r="I24" i="42" s="1"/>
  <c r="K24" i="42" s="1"/>
  <c r="M24" i="42" s="1"/>
  <c r="O24" i="42" s="1"/>
  <c r="H22" i="41"/>
  <c r="M20" i="41"/>
  <c r="I22" i="42" s="1"/>
  <c r="K22" i="42" s="1"/>
  <c r="M22" i="42" s="1"/>
  <c r="O22" i="42" s="1"/>
  <c r="H20" i="41"/>
  <c r="H23" i="41"/>
  <c r="H25" i="41"/>
  <c r="H30" i="41"/>
  <c r="H38" i="41"/>
  <c r="M38" i="41"/>
  <c r="I40" i="42" s="1"/>
  <c r="K40" i="42" s="1"/>
  <c r="M40" i="42" s="1"/>
  <c r="O40" i="42" s="1"/>
  <c r="M30" i="41"/>
  <c r="I32" i="42" s="1"/>
  <c r="K32" i="42" s="1"/>
  <c r="M32" i="42" s="1"/>
  <c r="O32" i="42" s="1"/>
  <c r="M25" i="41"/>
  <c r="I27" i="42" s="1"/>
  <c r="K27" i="42" s="1"/>
  <c r="M27" i="42" s="1"/>
  <c r="O27" i="42" s="1"/>
  <c r="M23" i="41"/>
  <c r="I25" i="42" s="1"/>
  <c r="K25" i="42" s="1"/>
  <c r="M25" i="42" s="1"/>
  <c r="O25" i="42" s="1"/>
  <c r="I35" i="42"/>
  <c r="K35" i="42" s="1"/>
  <c r="M35" i="42" s="1"/>
  <c r="O35" i="42" s="1"/>
  <c r="I74" i="42"/>
  <c r="K74" i="42" s="1"/>
  <c r="M74" i="42" s="1"/>
  <c r="O74" i="42" s="1"/>
  <c r="M31" i="41"/>
  <c r="I33" i="42" s="1"/>
  <c r="K33" i="42" s="1"/>
  <c r="M33" i="42" s="1"/>
  <c r="O33" i="42" s="1"/>
  <c r="H31" i="41"/>
  <c r="H26" i="41"/>
  <c r="M26" i="41"/>
  <c r="I28" i="42" s="1"/>
  <c r="K28" i="42" s="1"/>
  <c r="M28" i="42" s="1"/>
  <c r="O28" i="42" s="1"/>
  <c r="H69" i="41"/>
  <c r="M69" i="41"/>
  <c r="I71" i="42" s="1"/>
  <c r="K71" i="42" s="1"/>
  <c r="M71" i="42" s="1"/>
  <c r="O71" i="42" s="1"/>
  <c r="M80" i="41"/>
  <c r="I82" i="42" s="1"/>
  <c r="K82" i="42" s="1"/>
  <c r="M82" i="42" s="1"/>
  <c r="O82" i="42" s="1"/>
  <c r="M81" i="41"/>
  <c r="I83" i="42" s="1"/>
  <c r="K83" i="42" s="1"/>
  <c r="M83" i="42" s="1"/>
  <c r="O83" i="42" s="1"/>
  <c r="H67" i="41"/>
  <c r="M70" i="41"/>
  <c r="I72" i="42" s="1"/>
  <c r="K72" i="42" s="1"/>
  <c r="M72" i="42" s="1"/>
  <c r="O72" i="42" s="1"/>
  <c r="M71" i="41"/>
  <c r="I73" i="42" s="1"/>
  <c r="K73" i="42" s="1"/>
  <c r="M73" i="42" s="1"/>
  <c r="O73" i="42" s="1"/>
  <c r="H71" i="41"/>
  <c r="H70" i="41"/>
  <c r="H28" i="41"/>
  <c r="M28" i="41"/>
  <c r="I30" i="42" s="1"/>
  <c r="K30" i="42" s="1"/>
  <c r="M30" i="42" s="1"/>
  <c r="O30" i="42" s="1"/>
  <c r="H34" i="41"/>
  <c r="M34" i="41"/>
  <c r="I36" i="42" s="1"/>
  <c r="K36" i="42" s="1"/>
  <c r="M36" i="42" s="1"/>
  <c r="O36" i="42" s="1"/>
  <c r="M83" i="41"/>
  <c r="I85" i="42" s="1"/>
  <c r="K85" i="42" s="1"/>
  <c r="M85" i="42" s="1"/>
  <c r="O85" i="42" s="1"/>
  <c r="M82" i="41"/>
  <c r="I84" i="42" s="1"/>
  <c r="K84" i="42" s="1"/>
  <c r="M84" i="42" s="1"/>
  <c r="O84" i="42" s="1"/>
  <c r="H79" i="41"/>
  <c r="H78" i="41"/>
  <c r="M77" i="41"/>
  <c r="I79" i="42" s="1"/>
  <c r="K79" i="42" s="1"/>
  <c r="M79" i="42" s="1"/>
  <c r="O79" i="42" s="1"/>
  <c r="M73" i="41"/>
  <c r="I75" i="42" s="1"/>
  <c r="K75" i="42" s="1"/>
  <c r="M75" i="42" s="1"/>
  <c r="O75" i="42" s="1"/>
  <c r="H73" i="41"/>
  <c r="M14" i="41"/>
  <c r="M5" i="41"/>
  <c r="M74" i="41"/>
  <c r="I76" i="42" s="1"/>
  <c r="K76" i="42" s="1"/>
  <c r="M76" i="42" s="1"/>
  <c r="O76" i="42" s="1"/>
  <c r="M75" i="41"/>
  <c r="I77" i="42" s="1"/>
  <c r="K77" i="42" s="1"/>
  <c r="M77" i="42" s="1"/>
  <c r="O77" i="42" s="1"/>
  <c r="M76" i="41"/>
  <c r="I78" i="42" s="1"/>
  <c r="K78" i="42" s="1"/>
  <c r="M78" i="42" s="1"/>
  <c r="O78" i="42" s="1"/>
  <c r="H76" i="41"/>
  <c r="H75" i="41"/>
  <c r="H74" i="41"/>
  <c r="H13" i="41"/>
  <c r="H21" i="41"/>
  <c r="H37" i="41"/>
  <c r="H68" i="41"/>
  <c r="M37" i="41"/>
  <c r="I39" i="42" s="1"/>
  <c r="K39" i="42" s="1"/>
  <c r="M39" i="42" s="1"/>
  <c r="O39" i="42" s="1"/>
  <c r="M29" i="41"/>
  <c r="I31" i="42" s="1"/>
  <c r="K31" i="42" s="1"/>
  <c r="M31" i="42" s="1"/>
  <c r="O31" i="42" s="1"/>
  <c r="M21" i="41"/>
  <c r="I23" i="42" s="1"/>
  <c r="K23" i="42" s="1"/>
  <c r="M23" i="42" s="1"/>
  <c r="O23" i="42" s="1"/>
  <c r="M13" i="41"/>
  <c r="I15" i="42" s="1"/>
  <c r="K15" i="42" s="1"/>
  <c r="M15" i="42" s="1"/>
  <c r="O15" i="42" s="1"/>
  <c r="M55" i="41"/>
  <c r="I57" i="42" s="1"/>
  <c r="K57" i="42" s="1"/>
  <c r="M57" i="42" s="1"/>
  <c r="O57" i="42" s="1"/>
  <c r="M54" i="41"/>
  <c r="I56" i="42" s="1"/>
  <c r="K56" i="42" s="1"/>
  <c r="M56" i="42" s="1"/>
  <c r="O56" i="42" s="1"/>
  <c r="M66" i="41"/>
  <c r="M53" i="41"/>
  <c r="I55" i="42" s="1"/>
  <c r="K55" i="42" s="1"/>
  <c r="M55" i="42" s="1"/>
  <c r="O55" i="42" s="1"/>
  <c r="M52" i="41"/>
  <c r="I54" i="42" s="1"/>
  <c r="K54" i="42" s="1"/>
  <c r="M54" i="42" s="1"/>
  <c r="O54" i="42" s="1"/>
  <c r="M50" i="41"/>
  <c r="I52" i="42" s="1"/>
  <c r="K52" i="42" s="1"/>
  <c r="M52" i="42" s="1"/>
  <c r="O52" i="42" s="1"/>
  <c r="M51" i="41"/>
  <c r="I53" i="42" s="1"/>
  <c r="K53" i="42" s="1"/>
  <c r="M53" i="42" s="1"/>
  <c r="O53" i="42" s="1"/>
  <c r="M4" i="41"/>
  <c r="M3" i="41"/>
  <c r="M64" i="41"/>
  <c r="M63" i="41"/>
  <c r="H65" i="41"/>
  <c r="M62" i="41"/>
  <c r="H60" i="41"/>
  <c r="M43" i="41"/>
  <c r="I45" i="42" s="1"/>
  <c r="K45" i="42" s="1"/>
  <c r="M45" i="42" s="1"/>
  <c r="O45" i="42" s="1"/>
  <c r="M44" i="41"/>
  <c r="I46" i="42" s="1"/>
  <c r="K46" i="42" s="1"/>
  <c r="M46" i="42" s="1"/>
  <c r="O46" i="42" s="1"/>
  <c r="M45" i="41"/>
  <c r="I47" i="42" s="1"/>
  <c r="K47" i="42" s="1"/>
  <c r="M47" i="42" s="1"/>
  <c r="O47" i="42" s="1"/>
  <c r="M46" i="41"/>
  <c r="I48" i="42" s="1"/>
  <c r="K48" i="42" s="1"/>
  <c r="M48" i="42" s="1"/>
  <c r="O48" i="42" s="1"/>
  <c r="M47" i="41"/>
  <c r="I49" i="42" s="1"/>
  <c r="K49" i="42" s="1"/>
  <c r="M49" i="42" s="1"/>
  <c r="O49" i="42" s="1"/>
  <c r="M48" i="41"/>
  <c r="I50" i="42" s="1"/>
  <c r="K50" i="42" s="1"/>
  <c r="M50" i="42" s="1"/>
  <c r="O50" i="42" s="1"/>
  <c r="M49" i="41"/>
  <c r="I51" i="42" s="1"/>
  <c r="K51" i="42" s="1"/>
  <c r="M51" i="42" s="1"/>
  <c r="O51" i="42" s="1"/>
  <c r="M56" i="41"/>
  <c r="M58" i="41"/>
  <c r="M59" i="41"/>
  <c r="M61" i="41"/>
  <c r="T19" i="50" l="1"/>
  <c r="T21" i="50" s="1"/>
  <c r="U17" i="50"/>
  <c r="H62" i="41"/>
  <c r="I64" i="42"/>
  <c r="K64" i="42" s="1"/>
  <c r="M64" i="42" s="1"/>
  <c r="O64" i="42" s="1"/>
  <c r="H64" i="41"/>
  <c r="I66" i="42"/>
  <c r="K66" i="42" s="1"/>
  <c r="M66" i="42" s="1"/>
  <c r="O66" i="42" s="1"/>
  <c r="H61" i="41"/>
  <c r="I63" i="42"/>
  <c r="K63" i="42" s="1"/>
  <c r="M63" i="42" s="1"/>
  <c r="O63" i="42" s="1"/>
  <c r="H3" i="41"/>
  <c r="I5" i="42"/>
  <c r="H59" i="41"/>
  <c r="I61" i="42"/>
  <c r="K61" i="42" s="1"/>
  <c r="M61" i="42" s="1"/>
  <c r="O61" i="42" s="1"/>
  <c r="H4" i="41"/>
  <c r="I6" i="42"/>
  <c r="K6" i="42" s="1"/>
  <c r="M6" i="42" s="1"/>
  <c r="O6" i="42" s="1"/>
  <c r="J25" i="2"/>
  <c r="K38" i="42"/>
  <c r="H66" i="41"/>
  <c r="I68" i="42"/>
  <c r="K68" i="42" s="1"/>
  <c r="M68" i="42" s="1"/>
  <c r="O68" i="42" s="1"/>
  <c r="H14" i="41"/>
  <c r="I16" i="42"/>
  <c r="K16" i="42" s="1"/>
  <c r="M16" i="42" s="1"/>
  <c r="O16" i="42" s="1"/>
  <c r="H58" i="41"/>
  <c r="I60" i="42"/>
  <c r="K60" i="42" s="1"/>
  <c r="M60" i="42" s="1"/>
  <c r="O60" i="42" s="1"/>
  <c r="H5" i="41"/>
  <c r="I7" i="42"/>
  <c r="K7" i="42" s="1"/>
  <c r="M7" i="42" s="1"/>
  <c r="O7" i="42" s="1"/>
  <c r="H56" i="41"/>
  <c r="I58" i="42"/>
  <c r="K58" i="42" s="1"/>
  <c r="M58" i="42" s="1"/>
  <c r="O58" i="42" s="1"/>
  <c r="H63" i="41"/>
  <c r="I65" i="42"/>
  <c r="K65" i="42" s="1"/>
  <c r="M65" i="42" s="1"/>
  <c r="O65" i="42" s="1"/>
  <c r="K88" i="41"/>
  <c r="G90" i="42" s="1"/>
  <c r="K87" i="41"/>
  <c r="G89" i="42" s="1"/>
  <c r="K86" i="41"/>
  <c r="G88" i="42" s="1"/>
  <c r="K85" i="41"/>
  <c r="G87" i="42" s="1"/>
  <c r="K84" i="41"/>
  <c r="G86" i="42" s="1"/>
  <c r="K83" i="41"/>
  <c r="G85" i="42" s="1"/>
  <c r="K82" i="41"/>
  <c r="G84" i="42" s="1"/>
  <c r="K81" i="41"/>
  <c r="G83" i="42" s="1"/>
  <c r="K80" i="41"/>
  <c r="G82" i="42" s="1"/>
  <c r="K79" i="41"/>
  <c r="G81" i="42" s="1"/>
  <c r="K78" i="41"/>
  <c r="G80" i="42" s="1"/>
  <c r="K77" i="41"/>
  <c r="G79" i="42" s="1"/>
  <c r="K76" i="41"/>
  <c r="G78" i="42" s="1"/>
  <c r="K75" i="41"/>
  <c r="G77" i="42" s="1"/>
  <c r="K74" i="41"/>
  <c r="G76" i="42" s="1"/>
  <c r="K73" i="41"/>
  <c r="G75" i="42" s="1"/>
  <c r="K72" i="41"/>
  <c r="G74" i="42" s="1"/>
  <c r="K71" i="41"/>
  <c r="G73" i="42" s="1"/>
  <c r="K70" i="41"/>
  <c r="G72" i="42" s="1"/>
  <c r="K69" i="41"/>
  <c r="G71" i="42" s="1"/>
  <c r="K68" i="41"/>
  <c r="G70" i="42" s="1"/>
  <c r="K67" i="41"/>
  <c r="G69" i="42" s="1"/>
  <c r="K61" i="41"/>
  <c r="K60" i="41"/>
  <c r="G62" i="42" s="1"/>
  <c r="K59" i="41"/>
  <c r="K58" i="41"/>
  <c r="K57" i="41"/>
  <c r="G59" i="42" s="1"/>
  <c r="K56" i="41"/>
  <c r="K55" i="41"/>
  <c r="G57" i="42" s="1"/>
  <c r="K54" i="41"/>
  <c r="G56" i="42" s="1"/>
  <c r="K53" i="41"/>
  <c r="G55" i="42" s="1"/>
  <c r="K52" i="41"/>
  <c r="G54" i="42" s="1"/>
  <c r="K51" i="41"/>
  <c r="G53" i="42" s="1"/>
  <c r="K50" i="41"/>
  <c r="G52" i="42" s="1"/>
  <c r="K49" i="41"/>
  <c r="G51" i="42" s="1"/>
  <c r="K48" i="41"/>
  <c r="G50" i="42" s="1"/>
  <c r="K47" i="41"/>
  <c r="G49" i="42" s="1"/>
  <c r="K46" i="41"/>
  <c r="G48" i="42" s="1"/>
  <c r="K45" i="41"/>
  <c r="G47" i="42" s="1"/>
  <c r="K44" i="41"/>
  <c r="G46" i="42" s="1"/>
  <c r="K43" i="41"/>
  <c r="G45" i="42" s="1"/>
  <c r="K42" i="41"/>
  <c r="G44" i="42" s="1"/>
  <c r="K41" i="41"/>
  <c r="G43" i="42" s="1"/>
  <c r="K40" i="41"/>
  <c r="G42" i="42" s="1"/>
  <c r="K39" i="41"/>
  <c r="G41" i="42" s="1"/>
  <c r="K38" i="41"/>
  <c r="G40" i="42" s="1"/>
  <c r="K37" i="41"/>
  <c r="G39" i="42" s="1"/>
  <c r="K36" i="41"/>
  <c r="G38" i="42" s="1"/>
  <c r="I25" i="2" s="1"/>
  <c r="K35" i="41"/>
  <c r="G37" i="42" s="1"/>
  <c r="K34" i="41"/>
  <c r="G36" i="42" s="1"/>
  <c r="K33" i="41"/>
  <c r="G35" i="42" s="1"/>
  <c r="K32" i="41"/>
  <c r="G34" i="42" s="1"/>
  <c r="K31" i="41"/>
  <c r="G33" i="42" s="1"/>
  <c r="K30" i="41"/>
  <c r="G32" i="42" s="1"/>
  <c r="K29" i="41"/>
  <c r="G31" i="42" s="1"/>
  <c r="K28" i="41"/>
  <c r="G30" i="42" s="1"/>
  <c r="K27" i="41"/>
  <c r="G29" i="42" s="1"/>
  <c r="K26" i="41"/>
  <c r="G28" i="42" s="1"/>
  <c r="K25" i="41"/>
  <c r="G27" i="42" s="1"/>
  <c r="K24" i="41"/>
  <c r="G26" i="42" s="1"/>
  <c r="K23" i="41"/>
  <c r="G25" i="42" s="1"/>
  <c r="K22" i="41"/>
  <c r="G24" i="42" s="1"/>
  <c r="K21" i="41"/>
  <c r="G23" i="42" s="1"/>
  <c r="K20" i="41"/>
  <c r="G22" i="42" s="1"/>
  <c r="K19" i="41"/>
  <c r="G21" i="42" s="1"/>
  <c r="K18" i="41"/>
  <c r="G20" i="42" s="1"/>
  <c r="K17" i="41"/>
  <c r="G19" i="42" s="1"/>
  <c r="K16" i="41"/>
  <c r="G18" i="42" s="1"/>
  <c r="K15" i="41"/>
  <c r="G17" i="42" s="1"/>
  <c r="K14" i="41"/>
  <c r="K13" i="41"/>
  <c r="G15" i="42" s="1"/>
  <c r="K12" i="41"/>
  <c r="G14" i="42" s="1"/>
  <c r="K11" i="41"/>
  <c r="G13" i="42" s="1"/>
  <c r="K10" i="41"/>
  <c r="G12" i="42" s="1"/>
  <c r="K9" i="41"/>
  <c r="G11" i="42" s="1"/>
  <c r="K8" i="41"/>
  <c r="G10" i="42" s="1"/>
  <c r="K7" i="41"/>
  <c r="G9" i="42" s="1"/>
  <c r="K6" i="41"/>
  <c r="G8" i="42" s="1"/>
  <c r="J88" i="41"/>
  <c r="F90" i="42" s="1"/>
  <c r="J87" i="41"/>
  <c r="F89" i="42" s="1"/>
  <c r="J86" i="41"/>
  <c r="F88" i="42" s="1"/>
  <c r="J85" i="41"/>
  <c r="F87" i="42" s="1"/>
  <c r="J84" i="41"/>
  <c r="F86" i="42" s="1"/>
  <c r="J83" i="41"/>
  <c r="F85" i="42" s="1"/>
  <c r="J82" i="41"/>
  <c r="F84" i="42" s="1"/>
  <c r="J81" i="41"/>
  <c r="F83" i="42" s="1"/>
  <c r="J80" i="41"/>
  <c r="F82" i="42" s="1"/>
  <c r="J79" i="41"/>
  <c r="F81" i="42" s="1"/>
  <c r="J78" i="41"/>
  <c r="F80" i="42" s="1"/>
  <c r="J77" i="41"/>
  <c r="F79" i="42" s="1"/>
  <c r="J76" i="41"/>
  <c r="F78" i="42" s="1"/>
  <c r="J75" i="41"/>
  <c r="F77" i="42" s="1"/>
  <c r="J74" i="41"/>
  <c r="F76" i="42" s="1"/>
  <c r="J73" i="41"/>
  <c r="F75" i="42" s="1"/>
  <c r="J72" i="41"/>
  <c r="F74" i="42" s="1"/>
  <c r="J71" i="41"/>
  <c r="F73" i="42" s="1"/>
  <c r="J70" i="41"/>
  <c r="F72" i="42" s="1"/>
  <c r="J69" i="41"/>
  <c r="F71" i="42" s="1"/>
  <c r="J68" i="41"/>
  <c r="F70" i="42" s="1"/>
  <c r="J67" i="41"/>
  <c r="F69" i="42" s="1"/>
  <c r="J61" i="41"/>
  <c r="F63" i="42" s="1"/>
  <c r="J60" i="41"/>
  <c r="F62" i="42" s="1"/>
  <c r="J59" i="41"/>
  <c r="F61" i="42" s="1"/>
  <c r="J58" i="41"/>
  <c r="F60" i="42" s="1"/>
  <c r="J57" i="41"/>
  <c r="F59" i="42" s="1"/>
  <c r="J56" i="41"/>
  <c r="F58" i="42" s="1"/>
  <c r="J55" i="41"/>
  <c r="F57" i="42" s="1"/>
  <c r="J54" i="41"/>
  <c r="F56" i="42" s="1"/>
  <c r="J53" i="41"/>
  <c r="F55" i="42" s="1"/>
  <c r="J52" i="41"/>
  <c r="F54" i="42" s="1"/>
  <c r="J51" i="41"/>
  <c r="F53" i="42" s="1"/>
  <c r="J50" i="41"/>
  <c r="F52" i="42" s="1"/>
  <c r="J49" i="41"/>
  <c r="F51" i="42" s="1"/>
  <c r="J48" i="41"/>
  <c r="F50" i="42" s="1"/>
  <c r="J47" i="41"/>
  <c r="F49" i="42" s="1"/>
  <c r="J46" i="41"/>
  <c r="F48" i="42" s="1"/>
  <c r="J45" i="41"/>
  <c r="F47" i="42" s="1"/>
  <c r="J44" i="41"/>
  <c r="F46" i="42" s="1"/>
  <c r="J43" i="41"/>
  <c r="F45" i="42" s="1"/>
  <c r="J42" i="41"/>
  <c r="F44" i="42" s="1"/>
  <c r="J41" i="41"/>
  <c r="F43" i="42" s="1"/>
  <c r="J40" i="41"/>
  <c r="F42" i="42" s="1"/>
  <c r="J39" i="41"/>
  <c r="F41" i="42" s="1"/>
  <c r="J38" i="41"/>
  <c r="F40" i="42" s="1"/>
  <c r="J37" i="41"/>
  <c r="F39" i="42" s="1"/>
  <c r="J36" i="41"/>
  <c r="F38" i="42" s="1"/>
  <c r="J35" i="41"/>
  <c r="F37" i="42" s="1"/>
  <c r="J34" i="41"/>
  <c r="F36" i="42" s="1"/>
  <c r="J33" i="41"/>
  <c r="F35" i="42" s="1"/>
  <c r="J32" i="41"/>
  <c r="F34" i="42" s="1"/>
  <c r="J31" i="41"/>
  <c r="F33" i="42" s="1"/>
  <c r="J30" i="41"/>
  <c r="F32" i="42" s="1"/>
  <c r="J29" i="41"/>
  <c r="F31" i="42" s="1"/>
  <c r="J28" i="41"/>
  <c r="F30" i="42" s="1"/>
  <c r="J27" i="41"/>
  <c r="F29" i="42" s="1"/>
  <c r="J26" i="41"/>
  <c r="F28" i="42" s="1"/>
  <c r="J25" i="41"/>
  <c r="F27" i="42" s="1"/>
  <c r="J24" i="41"/>
  <c r="F26" i="42" s="1"/>
  <c r="J23" i="41"/>
  <c r="F25" i="42" s="1"/>
  <c r="J22" i="41"/>
  <c r="F24" i="42" s="1"/>
  <c r="J21" i="41"/>
  <c r="F23" i="42" s="1"/>
  <c r="J20" i="41"/>
  <c r="F22" i="42" s="1"/>
  <c r="J19" i="41"/>
  <c r="F21" i="42" s="1"/>
  <c r="J18" i="41"/>
  <c r="F20" i="42" s="1"/>
  <c r="J17" i="41"/>
  <c r="F19" i="42" s="1"/>
  <c r="J16" i="41"/>
  <c r="F18" i="42" s="1"/>
  <c r="J15" i="41"/>
  <c r="F17" i="42" s="1"/>
  <c r="J14" i="41"/>
  <c r="F16" i="42" s="1"/>
  <c r="J13" i="41"/>
  <c r="F15" i="42" s="1"/>
  <c r="J12" i="41"/>
  <c r="F14" i="42" s="1"/>
  <c r="J11" i="41"/>
  <c r="F13" i="42" s="1"/>
  <c r="J10" i="41"/>
  <c r="F12" i="42" s="1"/>
  <c r="J9" i="41"/>
  <c r="F11" i="42" s="1"/>
  <c r="J8" i="41"/>
  <c r="F10" i="42" s="1"/>
  <c r="J7" i="41"/>
  <c r="F9" i="42" s="1"/>
  <c r="J6" i="41"/>
  <c r="F8" i="42" s="1"/>
  <c r="U19" i="50" l="1"/>
  <c r="U21" i="50" s="1"/>
  <c r="V17" i="50"/>
  <c r="G60" i="42"/>
  <c r="G61" i="42"/>
  <c r="G58" i="42"/>
  <c r="G16" i="42"/>
  <c r="I91" i="42"/>
  <c r="K5" i="42"/>
  <c r="K25" i="2"/>
  <c r="M38" i="42"/>
  <c r="G63" i="42"/>
  <c r="I66" i="41"/>
  <c r="K66" i="41" s="1"/>
  <c r="G68" i="42" s="1"/>
  <c r="H89" i="41"/>
  <c r="G89" i="41"/>
  <c r="A79" i="41"/>
  <c r="A78" i="41"/>
  <c r="A68" i="41"/>
  <c r="A67" i="41"/>
  <c r="A4" i="41"/>
  <c r="A5" i="41"/>
  <c r="A6" i="41"/>
  <c r="A7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9" i="41"/>
  <c r="A70" i="41"/>
  <c r="A71" i="41"/>
  <c r="A72" i="41"/>
  <c r="A73" i="41"/>
  <c r="A74" i="41"/>
  <c r="A75" i="41"/>
  <c r="A76" i="41"/>
  <c r="A77" i="41"/>
  <c r="A80" i="41"/>
  <c r="A81" i="41"/>
  <c r="A82" i="41"/>
  <c r="A83" i="41"/>
  <c r="A84" i="41"/>
  <c r="A85" i="41"/>
  <c r="A86" i="41"/>
  <c r="A87" i="41"/>
  <c r="A88" i="41"/>
  <c r="A3" i="41"/>
  <c r="V19" i="50" l="1"/>
  <c r="V21" i="50" s="1"/>
  <c r="W17" i="50"/>
  <c r="M5" i="42"/>
  <c r="K91" i="42"/>
  <c r="O38" i="42"/>
  <c r="M25" i="2" s="1"/>
  <c r="L25" i="2"/>
  <c r="J65" i="41"/>
  <c r="J64" i="41"/>
  <c r="J63" i="41"/>
  <c r="J62" i="41"/>
  <c r="X17" i="50" l="1"/>
  <c r="W19" i="50"/>
  <c r="W21" i="50" s="1"/>
  <c r="I62" i="41"/>
  <c r="K62" i="41" s="1"/>
  <c r="G64" i="42" s="1"/>
  <c r="F64" i="42"/>
  <c r="I64" i="41"/>
  <c r="K64" i="41" s="1"/>
  <c r="G66" i="42" s="1"/>
  <c r="F66" i="42"/>
  <c r="I65" i="41"/>
  <c r="K65" i="41" s="1"/>
  <c r="G67" i="42" s="1"/>
  <c r="F67" i="42"/>
  <c r="I63" i="41"/>
  <c r="K63" i="41" s="1"/>
  <c r="G65" i="42" s="1"/>
  <c r="F65" i="42"/>
  <c r="O5" i="42"/>
  <c r="O91" i="42" s="1"/>
  <c r="M91" i="42"/>
  <c r="J3" i="41"/>
  <c r="M89" i="41"/>
  <c r="Y17" i="50" l="1"/>
  <c r="X19" i="50"/>
  <c r="X21" i="50" s="1"/>
  <c r="I3" i="41"/>
  <c r="K3" i="41" s="1"/>
  <c r="G5" i="42" s="1"/>
  <c r="F5" i="42"/>
  <c r="J4" i="41"/>
  <c r="J5" i="41"/>
  <c r="Y19" i="50" l="1"/>
  <c r="Y21" i="50" s="1"/>
  <c r="Z17" i="50"/>
  <c r="I5" i="41"/>
  <c r="K5" i="41" s="1"/>
  <c r="G7" i="42" s="1"/>
  <c r="F7" i="42"/>
  <c r="I4" i="41"/>
  <c r="K4" i="41" s="1"/>
  <c r="G6" i="42" s="1"/>
  <c r="F6" i="42"/>
  <c r="F91" i="42" s="1"/>
  <c r="G91" i="42"/>
  <c r="K89" i="41"/>
  <c r="J89" i="41"/>
  <c r="L89" i="41"/>
  <c r="AA17" i="50" l="1"/>
  <c r="Z19" i="50"/>
  <c r="Z21" i="50" s="1"/>
  <c r="I17" i="2"/>
  <c r="J17" i="2"/>
  <c r="K17" i="2"/>
  <c r="L17" i="2"/>
  <c r="M17" i="2"/>
  <c r="I18" i="2"/>
  <c r="J18" i="2"/>
  <c r="K18" i="2"/>
  <c r="L18" i="2"/>
  <c r="M18" i="2"/>
  <c r="I19" i="2"/>
  <c r="J19" i="2"/>
  <c r="K19" i="2"/>
  <c r="L19" i="2"/>
  <c r="M19" i="2"/>
  <c r="J16" i="2"/>
  <c r="K16" i="2"/>
  <c r="L16" i="2"/>
  <c r="M16" i="2"/>
  <c r="I16" i="2"/>
  <c r="D17" i="2"/>
  <c r="E17" i="2"/>
  <c r="J21" i="2" s="1"/>
  <c r="F17" i="2"/>
  <c r="K21" i="2" s="1"/>
  <c r="G17" i="2"/>
  <c r="L21" i="2" s="1"/>
  <c r="H17" i="2"/>
  <c r="M21" i="2" s="1"/>
  <c r="D18" i="2"/>
  <c r="E18" i="2"/>
  <c r="F18" i="2"/>
  <c r="G18" i="2"/>
  <c r="H18" i="2"/>
  <c r="D19" i="2"/>
  <c r="E19" i="2"/>
  <c r="F19" i="2"/>
  <c r="G19" i="2"/>
  <c r="H19" i="2"/>
  <c r="E16" i="2"/>
  <c r="F16" i="2"/>
  <c r="G16" i="2"/>
  <c r="H16" i="2"/>
  <c r="D16" i="2"/>
  <c r="I43" i="2" s="1"/>
  <c r="I53" i="2"/>
  <c r="C4" i="40"/>
  <c r="C7" i="40" s="1"/>
  <c r="B17" i="39"/>
  <c r="I15" i="39"/>
  <c r="H15" i="39"/>
  <c r="G15" i="39"/>
  <c r="F15" i="39"/>
  <c r="E15" i="39"/>
  <c r="D15" i="39"/>
  <c r="C15" i="39"/>
  <c r="I14" i="39"/>
  <c r="H14" i="39"/>
  <c r="G14" i="39"/>
  <c r="F14" i="39"/>
  <c r="E14" i="39"/>
  <c r="D14" i="39"/>
  <c r="C14" i="39"/>
  <c r="I13" i="39"/>
  <c r="B13" i="39"/>
  <c r="B16" i="39" s="1"/>
  <c r="I12" i="39"/>
  <c r="H12" i="39"/>
  <c r="G12" i="39"/>
  <c r="F12" i="39"/>
  <c r="E12" i="39"/>
  <c r="D12" i="39"/>
  <c r="C12" i="39"/>
  <c r="B5" i="38" s="1"/>
  <c r="I11" i="39"/>
  <c r="H11" i="39"/>
  <c r="G11" i="39"/>
  <c r="F11" i="39"/>
  <c r="E11" i="39"/>
  <c r="D11" i="39"/>
  <c r="C11" i="39"/>
  <c r="B8" i="39"/>
  <c r="I6" i="39"/>
  <c r="H6" i="39"/>
  <c r="G6" i="39"/>
  <c r="F6" i="39"/>
  <c r="E6" i="39"/>
  <c r="D6" i="39"/>
  <c r="C6" i="39"/>
  <c r="I5" i="39"/>
  <c r="H5" i="39"/>
  <c r="G5" i="39"/>
  <c r="F5" i="39"/>
  <c r="E5" i="39"/>
  <c r="D5" i="39"/>
  <c r="C5" i="39"/>
  <c r="H4" i="39"/>
  <c r="G4" i="39"/>
  <c r="F4" i="39"/>
  <c r="E4" i="39"/>
  <c r="D4" i="39"/>
  <c r="B4" i="39"/>
  <c r="C4" i="39" s="1"/>
  <c r="I3" i="39"/>
  <c r="H3" i="39"/>
  <c r="G3" i="39"/>
  <c r="F3" i="39"/>
  <c r="E3" i="39"/>
  <c r="D3" i="39"/>
  <c r="C3" i="39"/>
  <c r="I2" i="39"/>
  <c r="H2" i="39"/>
  <c r="G2" i="39"/>
  <c r="F2" i="39"/>
  <c r="E2" i="39"/>
  <c r="D2" i="39"/>
  <c r="C2" i="39"/>
  <c r="B29" i="38"/>
  <c r="C29" i="38" s="1"/>
  <c r="D29" i="38" s="1"/>
  <c r="H5" i="38" s="1"/>
  <c r="B28" i="38"/>
  <c r="C28" i="38" s="1"/>
  <c r="D28" i="38" s="1"/>
  <c r="I22" i="38"/>
  <c r="K13" i="38"/>
  <c r="J13" i="38"/>
  <c r="I13" i="38"/>
  <c r="H13" i="38"/>
  <c r="G13" i="38"/>
  <c r="F13" i="38"/>
  <c r="E13" i="38"/>
  <c r="D13" i="38"/>
  <c r="C13" i="38"/>
  <c r="B13" i="38"/>
  <c r="C6" i="38"/>
  <c r="H6" i="38" s="1"/>
  <c r="F5" i="38"/>
  <c r="E5" i="38"/>
  <c r="D5" i="38"/>
  <c r="C5" i="38"/>
  <c r="B5" i="37"/>
  <c r="AA19" i="50" l="1"/>
  <c r="AC17" i="50"/>
  <c r="I45" i="2"/>
  <c r="I21" i="2"/>
  <c r="I44" i="2"/>
  <c r="I16" i="39"/>
  <c r="I17" i="39" s="1"/>
  <c r="E16" i="39"/>
  <c r="C16" i="39"/>
  <c r="H16" i="39"/>
  <c r="G16" i="39"/>
  <c r="D16" i="39"/>
  <c r="F16" i="39"/>
  <c r="G5" i="38"/>
  <c r="D13" i="39"/>
  <c r="B7" i="39"/>
  <c r="E13" i="39"/>
  <c r="I5" i="38"/>
  <c r="C8" i="38"/>
  <c r="H8" i="38" s="1"/>
  <c r="I4" i="39"/>
  <c r="F13" i="39"/>
  <c r="C13" i="39"/>
  <c r="J5" i="38"/>
  <c r="G13" i="39"/>
  <c r="F7" i="38" s="1"/>
  <c r="K7" i="38" s="1"/>
  <c r="K5" i="38"/>
  <c r="H13" i="39"/>
  <c r="H17" i="39" s="1"/>
  <c r="AA21" i="50" l="1"/>
  <c r="AC21" i="50" s="1"/>
  <c r="AC19" i="50"/>
  <c r="I20" i="2"/>
  <c r="G10" i="38"/>
  <c r="C7" i="38"/>
  <c r="G17" i="39"/>
  <c r="F6" i="38" s="1"/>
  <c r="E17" i="39"/>
  <c r="D6" i="38" s="1"/>
  <c r="D7" i="38"/>
  <c r="I7" i="38" s="1"/>
  <c r="E7" i="39"/>
  <c r="E8" i="39" s="1"/>
  <c r="D7" i="39"/>
  <c r="H7" i="39"/>
  <c r="H8" i="39" s="1"/>
  <c r="C7" i="39"/>
  <c r="C8" i="39" s="1"/>
  <c r="G7" i="39"/>
  <c r="G8" i="39" s="1"/>
  <c r="F7" i="39"/>
  <c r="F8" i="39" s="1"/>
  <c r="I7" i="39"/>
  <c r="I8" i="39" s="1"/>
  <c r="B7" i="38"/>
  <c r="G7" i="38" s="1"/>
  <c r="C17" i="39"/>
  <c r="B6" i="38" s="1"/>
  <c r="F17" i="39"/>
  <c r="E6" i="38" s="1"/>
  <c r="E7" i="38"/>
  <c r="J7" i="38" s="1"/>
  <c r="I6" i="38" l="1"/>
  <c r="D8" i="38"/>
  <c r="I8" i="38" s="1"/>
  <c r="D11" i="38"/>
  <c r="D14" i="38" s="1"/>
  <c r="E8" i="38"/>
  <c r="J8" i="38" s="1"/>
  <c r="J6" i="38"/>
  <c r="J11" i="38" s="1"/>
  <c r="J14" i="38" s="1"/>
  <c r="E11" i="38"/>
  <c r="E14" i="38" s="1"/>
  <c r="K6" i="38"/>
  <c r="K11" i="38" s="1"/>
  <c r="K14" i="38" s="1"/>
  <c r="F8" i="38"/>
  <c r="K8" i="38" s="1"/>
  <c r="G6" i="38"/>
  <c r="G11" i="38" s="1"/>
  <c r="G14" i="38" s="1"/>
  <c r="B8" i="38"/>
  <c r="G8" i="38" s="1"/>
  <c r="B11" i="38"/>
  <c r="B14" i="38" s="1"/>
  <c r="H7" i="38"/>
  <c r="H11" i="38" s="1"/>
  <c r="H14" i="38" s="1"/>
  <c r="C11" i="38"/>
  <c r="C14" i="38" s="1"/>
  <c r="F11" i="38" l="1"/>
  <c r="F14" i="38" s="1"/>
  <c r="I11" i="38"/>
  <c r="I14" i="38" s="1"/>
  <c r="D35" i="29" l="1"/>
  <c r="F18" i="34"/>
  <c r="Q16" i="34"/>
  <c r="Q11" i="34"/>
  <c r="Q12" i="34" s="1"/>
  <c r="B10" i="34"/>
  <c r="R9" i="35"/>
  <c r="Q9" i="35"/>
  <c r="P9" i="35"/>
  <c r="O9" i="35"/>
  <c r="N9" i="35"/>
  <c r="M9" i="35"/>
  <c r="L9" i="35"/>
  <c r="K9" i="35"/>
  <c r="J9" i="35"/>
  <c r="I9" i="35"/>
  <c r="H9" i="35"/>
  <c r="G8" i="35"/>
  <c r="F8" i="35"/>
  <c r="G7" i="35"/>
  <c r="F7" i="35"/>
  <c r="G6" i="35"/>
  <c r="F6" i="35"/>
  <c r="G5" i="35"/>
  <c r="F5" i="35"/>
  <c r="G4" i="35"/>
  <c r="G9" i="35" s="1"/>
  <c r="F4" i="35"/>
  <c r="F9" i="35" s="1"/>
  <c r="R2" i="35"/>
  <c r="Q2" i="35"/>
  <c r="P2" i="35"/>
  <c r="O2" i="35"/>
  <c r="N2" i="35"/>
  <c r="M2" i="35"/>
  <c r="L2" i="35"/>
  <c r="K2" i="35"/>
  <c r="J2" i="35"/>
  <c r="I2" i="35"/>
  <c r="H2" i="35"/>
  <c r="P8" i="32"/>
  <c r="P19" i="32" s="1"/>
  <c r="N24" i="32"/>
  <c r="M24" i="32"/>
  <c r="N23" i="32"/>
  <c r="M23" i="32"/>
  <c r="M15" i="32"/>
  <c r="M17" i="32"/>
  <c r="N17" i="32"/>
  <c r="S2" i="32"/>
  <c r="M18" i="32" s="1"/>
  <c r="T2" i="32"/>
  <c r="N18" i="32" s="1"/>
  <c r="P17" i="32" l="1"/>
  <c r="P16" i="32"/>
  <c r="P13" i="32"/>
  <c r="P15" i="32"/>
  <c r="P24" i="32"/>
  <c r="P14" i="32"/>
  <c r="P18" i="32"/>
  <c r="P23" i="32"/>
  <c r="P25" i="32"/>
  <c r="P20" i="32"/>
  <c r="T7" i="32"/>
  <c r="S7" i="32"/>
  <c r="R6" i="32"/>
  <c r="R5" i="32"/>
  <c r="R4" i="32"/>
  <c r="R3" i="32"/>
  <c r="R2" i="32"/>
  <c r="O25" i="32"/>
  <c r="H4" i="32"/>
  <c r="J37" i="32"/>
  <c r="L37" i="32" s="1"/>
  <c r="J36" i="32"/>
  <c r="L36" i="32" s="1"/>
  <c r="J26" i="32"/>
  <c r="L26" i="32" s="1"/>
  <c r="L38" i="32" s="1"/>
  <c r="G25" i="32"/>
  <c r="D25" i="32"/>
  <c r="G24" i="32"/>
  <c r="D24" i="32"/>
  <c r="G23" i="32"/>
  <c r="D23" i="32"/>
  <c r="G20" i="32"/>
  <c r="D20" i="32"/>
  <c r="G19" i="32"/>
  <c r="D19" i="32"/>
  <c r="G18" i="32"/>
  <c r="D18" i="32"/>
  <c r="G17" i="32"/>
  <c r="D17" i="32"/>
  <c r="G16" i="32"/>
  <c r="D16" i="32"/>
  <c r="G15" i="32"/>
  <c r="D15" i="32"/>
  <c r="G14" i="32"/>
  <c r="D14" i="32"/>
  <c r="G13" i="32"/>
  <c r="D13" i="32"/>
  <c r="F25" i="32"/>
  <c r="D3" i="32"/>
  <c r="G2" i="32"/>
  <c r="F2" i="32"/>
  <c r="E2" i="32"/>
  <c r="H2" i="32" s="1"/>
  <c r="B8" i="32"/>
  <c r="H8" i="32" s="1"/>
  <c r="H9" i="32" s="1"/>
  <c r="E3" i="32" l="1"/>
  <c r="E8" i="32" s="1"/>
  <c r="E9" i="32" s="1"/>
  <c r="H24" i="32"/>
  <c r="P40" i="32"/>
  <c r="D38" i="32"/>
  <c r="G38" i="32"/>
  <c r="E13" i="32"/>
  <c r="E15" i="32"/>
  <c r="E17" i="32"/>
  <c r="E19" i="32"/>
  <c r="E23" i="32"/>
  <c r="E25" i="32"/>
  <c r="H25" i="32" s="1"/>
  <c r="J25" i="32" s="1"/>
  <c r="F13" i="32"/>
  <c r="F15" i="32"/>
  <c r="F17" i="32"/>
  <c r="F19" i="32"/>
  <c r="F23" i="32"/>
  <c r="F3" i="32"/>
  <c r="G3" i="32"/>
  <c r="G8" i="32" s="1"/>
  <c r="G9" i="32" s="1"/>
  <c r="E14" i="32"/>
  <c r="E16" i="32"/>
  <c r="E18" i="32"/>
  <c r="E20" i="32"/>
  <c r="E24" i="32"/>
  <c r="F14" i="32"/>
  <c r="F16" i="32"/>
  <c r="F18" i="32"/>
  <c r="F20" i="32"/>
  <c r="F24" i="32"/>
  <c r="G5" i="27"/>
  <c r="H3" i="32" l="1"/>
  <c r="F8" i="32"/>
  <c r="H17" i="32"/>
  <c r="J17" i="32" s="1"/>
  <c r="J24" i="32"/>
  <c r="H14" i="32"/>
  <c r="J14" i="32" s="1"/>
  <c r="H13" i="32"/>
  <c r="E38" i="32"/>
  <c r="H20" i="32"/>
  <c r="J20" i="32" s="1"/>
  <c r="H18" i="32"/>
  <c r="J18" i="32" s="1"/>
  <c r="H16" i="32"/>
  <c r="J16" i="32" s="1"/>
  <c r="F38" i="32"/>
  <c r="H15" i="32"/>
  <c r="J15" i="32" s="1"/>
  <c r="B3" i="32"/>
  <c r="H23" i="32"/>
  <c r="J23" i="32" s="1"/>
  <c r="H19" i="32"/>
  <c r="J19" i="32" s="1"/>
  <c r="C5" i="27"/>
  <c r="G6" i="27" s="1"/>
  <c r="G7" i="27" s="1"/>
  <c r="H5" i="27"/>
  <c r="I5" i="27"/>
  <c r="D5" i="27"/>
  <c r="D6" i="27" s="1"/>
  <c r="D7" i="27" s="1"/>
  <c r="E5" i="27"/>
  <c r="E6" i="27" s="1"/>
  <c r="E7" i="27" s="1"/>
  <c r="F5" i="27"/>
  <c r="F3" i="28"/>
  <c r="G3" i="28" s="1"/>
  <c r="I6" i="27" l="1"/>
  <c r="I7" i="27" s="1"/>
  <c r="F6" i="27"/>
  <c r="F7" i="27" s="1"/>
  <c r="H6" i="27"/>
  <c r="H7" i="27" s="1"/>
  <c r="F9" i="32"/>
  <c r="D8" i="32"/>
  <c r="D9" i="32" s="1"/>
  <c r="J13" i="32"/>
  <c r="H38" i="32"/>
  <c r="J38" i="32"/>
  <c r="O40" i="32" s="1"/>
  <c r="H3" i="28"/>
  <c r="D11" i="25"/>
  <c r="E11" i="25" s="1"/>
  <c r="D10" i="25"/>
  <c r="E10" i="25" s="1"/>
  <c r="D9" i="25"/>
  <c r="E9" i="25" s="1"/>
  <c r="D8" i="25"/>
  <c r="E8" i="25" s="1"/>
  <c r="D7" i="25"/>
  <c r="E7" i="25" s="1"/>
  <c r="D6" i="25"/>
  <c r="E6" i="25" s="1"/>
  <c r="D5" i="25"/>
  <c r="E5" i="25" s="1"/>
  <c r="B12" i="25"/>
  <c r="E12" i="25" l="1"/>
  <c r="I8" i="28"/>
  <c r="C19" i="29" l="1"/>
  <c r="F10" i="26" l="1"/>
  <c r="D11" i="29" l="1"/>
  <c r="C23" i="29"/>
  <c r="H10" i="26"/>
  <c r="G10" i="26"/>
  <c r="E10" i="26"/>
  <c r="C11" i="29" l="1"/>
  <c r="D23" i="29"/>
  <c r="Z10" i="24"/>
  <c r="AA10" i="24" s="1"/>
  <c r="AA9" i="24"/>
  <c r="AA8" i="24"/>
  <c r="AA7" i="24"/>
  <c r="AA6" i="24"/>
  <c r="Z5" i="24"/>
  <c r="Z12" i="24" s="1"/>
  <c r="AA12" i="24" s="1"/>
  <c r="Y3" i="24"/>
  <c r="AA3" i="24" s="1"/>
  <c r="Q10" i="24"/>
  <c r="R10" i="24" s="1"/>
  <c r="R9" i="24"/>
  <c r="R8" i="24"/>
  <c r="R7" i="24"/>
  <c r="R6" i="24"/>
  <c r="Q5" i="24"/>
  <c r="Q12" i="24" s="1"/>
  <c r="R12" i="24" s="1"/>
  <c r="P3" i="24"/>
  <c r="P11" i="24" s="1"/>
  <c r="R11" i="24" s="1"/>
  <c r="H10" i="24"/>
  <c r="I10" i="24" s="1"/>
  <c r="I9" i="24"/>
  <c r="I8" i="24"/>
  <c r="I7" i="24"/>
  <c r="I6" i="24"/>
  <c r="H5" i="24"/>
  <c r="H12" i="24" s="1"/>
  <c r="I12" i="24" s="1"/>
  <c r="G3" i="24"/>
  <c r="I3" i="24" s="1"/>
  <c r="D5" i="18"/>
  <c r="D6" i="30" l="1"/>
  <c r="D5" i="30"/>
  <c r="G11" i="24"/>
  <c r="I11" i="24" s="1"/>
  <c r="I13" i="24" s="1"/>
  <c r="I15" i="24" s="1"/>
  <c r="I16" i="24" s="1"/>
  <c r="I17" i="24" s="1"/>
  <c r="R13" i="24"/>
  <c r="R15" i="24" s="1"/>
  <c r="R16" i="24" s="1"/>
  <c r="R17" i="24" s="1"/>
  <c r="Y11" i="24"/>
  <c r="AA11" i="24" s="1"/>
  <c r="AA13" i="24" s="1"/>
  <c r="AA15" i="24" s="1"/>
  <c r="AA5" i="24"/>
  <c r="R5" i="24"/>
  <c r="R3" i="24"/>
  <c r="I5" i="24"/>
  <c r="AA16" i="24" l="1"/>
  <c r="AA17" i="24" s="1"/>
  <c r="R18" i="24"/>
  <c r="R19" i="24" s="1"/>
  <c r="B24" i="24" s="1"/>
  <c r="I18" i="24"/>
  <c r="I19" i="24"/>
  <c r="B23" i="24" s="1"/>
  <c r="D24" i="24" l="1"/>
  <c r="E24" i="24" s="1"/>
  <c r="C3" i="29" s="1"/>
  <c r="C24" i="24"/>
  <c r="C4" i="29" s="1"/>
  <c r="AA18" i="24"/>
  <c r="AA19" i="24" s="1"/>
  <c r="B25" i="24" s="1"/>
  <c r="C25" i="24" s="1"/>
  <c r="D25" i="24" l="1"/>
  <c r="E25" i="24" s="1"/>
  <c r="F4" i="28" l="1"/>
  <c r="G4" i="28" s="1"/>
  <c r="H4" i="28" l="1"/>
  <c r="I4" i="28" s="1"/>
  <c r="F44" i="5" l="1"/>
  <c r="F41" i="5"/>
  <c r="D14" i="1"/>
  <c r="B73" i="5" l="1"/>
  <c r="B71" i="5"/>
  <c r="B70" i="5"/>
  <c r="B59" i="5"/>
  <c r="B57" i="5"/>
  <c r="B56" i="5"/>
  <c r="H44" i="5"/>
  <c r="B44" i="5"/>
  <c r="B42" i="5"/>
  <c r="B41" i="5"/>
  <c r="H77" i="5"/>
  <c r="H76" i="5"/>
  <c r="H75" i="5"/>
  <c r="H74" i="5"/>
  <c r="H72" i="5"/>
  <c r="H63" i="5"/>
  <c r="H62" i="5"/>
  <c r="H61" i="5"/>
  <c r="H60" i="5"/>
  <c r="H58" i="5"/>
  <c r="H48" i="5"/>
  <c r="H47" i="5"/>
  <c r="H46" i="5"/>
  <c r="H45" i="5"/>
  <c r="H43" i="5"/>
  <c r="H41" i="5"/>
  <c r="H20" i="5"/>
  <c r="H19" i="5"/>
  <c r="H18" i="5"/>
  <c r="H17" i="5"/>
  <c r="H16" i="5"/>
  <c r="H15" i="5"/>
  <c r="H14" i="5"/>
  <c r="H13" i="5"/>
  <c r="H34" i="5"/>
  <c r="H33" i="5"/>
  <c r="H32" i="5"/>
  <c r="H31" i="5"/>
  <c r="H29" i="5"/>
  <c r="B30" i="5"/>
  <c r="B28" i="5"/>
  <c r="B27" i="5"/>
  <c r="D8" i="18"/>
  <c r="D22" i="18" s="1"/>
  <c r="D7" i="18"/>
  <c r="D14" i="18" s="1"/>
  <c r="F6" i="18"/>
  <c r="F71" i="5" s="1"/>
  <c r="H71" i="5" s="1"/>
  <c r="E6" i="18"/>
  <c r="F57" i="5" s="1"/>
  <c r="H57" i="5" s="1"/>
  <c r="D6" i="18"/>
  <c r="D9" i="18" s="1"/>
  <c r="D30" i="18" s="1"/>
  <c r="C6" i="18"/>
  <c r="C9" i="18" s="1"/>
  <c r="C30" i="18" s="1"/>
  <c r="F5" i="18"/>
  <c r="F70" i="5" s="1"/>
  <c r="H70" i="5" s="1"/>
  <c r="E5" i="18"/>
  <c r="F56" i="5" s="1"/>
  <c r="H56" i="5" s="1"/>
  <c r="C5" i="18"/>
  <c r="F27" i="5" s="1"/>
  <c r="H27" i="5" s="1"/>
  <c r="B5" i="18"/>
  <c r="F4" i="18"/>
  <c r="F73" i="5" s="1"/>
  <c r="H73" i="5" s="1"/>
  <c r="E4" i="18"/>
  <c r="F59" i="5" s="1"/>
  <c r="H59" i="5" s="1"/>
  <c r="C4" i="18"/>
  <c r="B4" i="18"/>
  <c r="H30" i="2"/>
  <c r="G30" i="2"/>
  <c r="F30" i="2"/>
  <c r="E30" i="2"/>
  <c r="D30" i="2"/>
  <c r="D24" i="18" l="1"/>
  <c r="C35" i="18"/>
  <c r="F28" i="5"/>
  <c r="H28" i="5" s="1"/>
  <c r="D34" i="18"/>
  <c r="F42" i="5"/>
  <c r="H42" i="5" s="1"/>
  <c r="C27" i="18"/>
  <c r="F30" i="5"/>
  <c r="H30" i="5" s="1"/>
  <c r="C7" i="18"/>
  <c r="C11" i="18" s="1"/>
  <c r="D25" i="18"/>
  <c r="D17" i="18"/>
  <c r="D20" i="18"/>
  <c r="C8" i="18"/>
  <c r="C21" i="18" s="1"/>
  <c r="D23" i="18"/>
  <c r="E7" i="18"/>
  <c r="E14" i="18" s="1"/>
  <c r="B8" i="18"/>
  <c r="B21" i="18" s="1"/>
  <c r="F9" i="18"/>
  <c r="F35" i="18" s="1"/>
  <c r="D11" i="18"/>
  <c r="D19" i="18"/>
  <c r="D27" i="18"/>
  <c r="C32" i="18"/>
  <c r="D35" i="18"/>
  <c r="D16" i="18"/>
  <c r="C29" i="18"/>
  <c r="D32" i="18"/>
  <c r="D13" i="18"/>
  <c r="D21" i="18"/>
  <c r="D29" i="18"/>
  <c r="C34" i="18"/>
  <c r="B7" i="18"/>
  <c r="B13" i="18" s="1"/>
  <c r="E8" i="18"/>
  <c r="E25" i="18" s="1"/>
  <c r="D10" i="18"/>
  <c r="D18" i="18"/>
  <c r="D26" i="18"/>
  <c r="C31" i="18"/>
  <c r="F8" i="18"/>
  <c r="F18" i="18" s="1"/>
  <c r="D15" i="18"/>
  <c r="C28" i="18"/>
  <c r="D31" i="18"/>
  <c r="C36" i="18"/>
  <c r="D12" i="18"/>
  <c r="D28" i="18"/>
  <c r="C33" i="18"/>
  <c r="D36" i="18"/>
  <c r="D33" i="18"/>
  <c r="F7" i="18"/>
  <c r="F12" i="18" s="1"/>
  <c r="E9" i="18"/>
  <c r="E27" i="18" s="1"/>
  <c r="C25" i="18" l="1"/>
  <c r="C17" i="18"/>
  <c r="C22" i="18"/>
  <c r="C18" i="18"/>
  <c r="E32" i="18"/>
  <c r="B28" i="18"/>
  <c r="B29" i="18"/>
  <c r="C14" i="18"/>
  <c r="C23" i="18"/>
  <c r="C24" i="18"/>
  <c r="B36" i="18"/>
  <c r="C20" i="18"/>
  <c r="C19" i="18"/>
  <c r="C26" i="18"/>
  <c r="E34" i="18"/>
  <c r="F24" i="18"/>
  <c r="E12" i="18"/>
  <c r="F22" i="18"/>
  <c r="E15" i="18"/>
  <c r="C12" i="18"/>
  <c r="C10" i="18"/>
  <c r="E20" i="18"/>
  <c r="E36" i="18"/>
  <c r="E10" i="18"/>
  <c r="E13" i="18"/>
  <c r="E30" i="18"/>
  <c r="E28" i="18"/>
  <c r="F28" i="18"/>
  <c r="E16" i="18"/>
  <c r="E11" i="18"/>
  <c r="E33" i="18"/>
  <c r="E31" i="18"/>
  <c r="E29" i="18"/>
  <c r="E35" i="18"/>
  <c r="C16" i="18"/>
  <c r="C13" i="18"/>
  <c r="B16" i="18"/>
  <c r="C15" i="18"/>
  <c r="E19" i="18"/>
  <c r="F26" i="18"/>
  <c r="F21" i="18"/>
  <c r="E18" i="18"/>
  <c r="E24" i="18"/>
  <c r="F17" i="18"/>
  <c r="F23" i="18"/>
  <c r="F36" i="18"/>
  <c r="B12" i="18"/>
  <c r="F19" i="18"/>
  <c r="F25" i="18"/>
  <c r="F15" i="18"/>
  <c r="F10" i="18"/>
  <c r="F13" i="18"/>
  <c r="F14" i="18"/>
  <c r="E22" i="18"/>
  <c r="F31" i="18"/>
  <c r="F34" i="18"/>
  <c r="F29" i="18"/>
  <c r="F30" i="18"/>
  <c r="E17" i="18"/>
  <c r="E23" i="18"/>
  <c r="E21" i="18"/>
  <c r="B11" i="18"/>
  <c r="B14" i="18"/>
  <c r="B10" i="18"/>
  <c r="B15" i="18"/>
  <c r="F33" i="18"/>
  <c r="B32" i="18"/>
  <c r="B24" i="18"/>
  <c r="B35" i="18"/>
  <c r="B27" i="18"/>
  <c r="B19" i="18"/>
  <c r="B30" i="18"/>
  <c r="B22" i="18"/>
  <c r="B33" i="18"/>
  <c r="B25" i="18"/>
  <c r="B17" i="18"/>
  <c r="B31" i="18"/>
  <c r="B23" i="18"/>
  <c r="B34" i="18"/>
  <c r="B26" i="18"/>
  <c r="B18" i="18"/>
  <c r="F20" i="18"/>
  <c r="E26" i="18"/>
  <c r="F32" i="18"/>
  <c r="B20" i="18"/>
  <c r="F27" i="18"/>
  <c r="F11" i="18"/>
  <c r="F16" i="18"/>
  <c r="B14" i="1" l="1"/>
  <c r="I8" i="2" s="1"/>
  <c r="I30" i="2" s="1"/>
  <c r="B20" i="1" l="1"/>
  <c r="B26" i="1" s="1"/>
  <c r="J8" i="2"/>
  <c r="K8" i="2" l="1"/>
  <c r="J30" i="2"/>
  <c r="H21" i="5"/>
  <c r="F21" i="5"/>
  <c r="AC20" i="5"/>
  <c r="X20" i="5"/>
  <c r="S20" i="5"/>
  <c r="N20" i="5"/>
  <c r="I20" i="5"/>
  <c r="J20" i="5" s="1"/>
  <c r="AC19" i="5"/>
  <c r="X19" i="5"/>
  <c r="S19" i="5"/>
  <c r="N19" i="5"/>
  <c r="I19" i="5"/>
  <c r="J19" i="5" s="1"/>
  <c r="AC18" i="5"/>
  <c r="X18" i="5"/>
  <c r="S18" i="5"/>
  <c r="N18" i="5"/>
  <c r="I18" i="5"/>
  <c r="J18" i="5" s="1"/>
  <c r="AC17" i="5"/>
  <c r="X17" i="5"/>
  <c r="S17" i="5"/>
  <c r="N17" i="5"/>
  <c r="I17" i="5"/>
  <c r="J17" i="5" s="1"/>
  <c r="M17" i="5" s="1"/>
  <c r="AC16" i="5"/>
  <c r="X16" i="5"/>
  <c r="S16" i="5"/>
  <c r="N16" i="5"/>
  <c r="I16" i="5"/>
  <c r="J16" i="5" s="1"/>
  <c r="AC15" i="5"/>
  <c r="X15" i="5"/>
  <c r="S15" i="5"/>
  <c r="N15" i="5"/>
  <c r="I15" i="5"/>
  <c r="J15" i="5" s="1"/>
  <c r="M15" i="5" s="1"/>
  <c r="AC14" i="5"/>
  <c r="X14" i="5"/>
  <c r="S14" i="5"/>
  <c r="N14" i="5"/>
  <c r="I14" i="5"/>
  <c r="J14" i="5" s="1"/>
  <c r="AC13" i="5"/>
  <c r="X13" i="5"/>
  <c r="S13" i="5"/>
  <c r="N13" i="5"/>
  <c r="I13" i="5"/>
  <c r="H35" i="5"/>
  <c r="F35" i="5"/>
  <c r="AC34" i="5"/>
  <c r="X34" i="5"/>
  <c r="S34" i="5"/>
  <c r="N34" i="5"/>
  <c r="I34" i="5"/>
  <c r="J34" i="5" s="1"/>
  <c r="M34" i="5" s="1"/>
  <c r="AC33" i="5"/>
  <c r="X33" i="5"/>
  <c r="S33" i="5"/>
  <c r="N33" i="5"/>
  <c r="I33" i="5"/>
  <c r="J33" i="5" s="1"/>
  <c r="AC32" i="5"/>
  <c r="X32" i="5"/>
  <c r="S32" i="5"/>
  <c r="N32" i="5"/>
  <c r="I32" i="5"/>
  <c r="J32" i="5" s="1"/>
  <c r="AC31" i="5"/>
  <c r="X31" i="5"/>
  <c r="S31" i="5"/>
  <c r="N31" i="5"/>
  <c r="I31" i="5"/>
  <c r="J31" i="5" s="1"/>
  <c r="AC30" i="5"/>
  <c r="X30" i="5"/>
  <c r="S30" i="5"/>
  <c r="N30" i="5"/>
  <c r="I30" i="5"/>
  <c r="J30" i="5" s="1"/>
  <c r="M30" i="5" s="1"/>
  <c r="AC29" i="5"/>
  <c r="X29" i="5"/>
  <c r="S29" i="5"/>
  <c r="N29" i="5"/>
  <c r="I29" i="5"/>
  <c r="J29" i="5" s="1"/>
  <c r="AC28" i="5"/>
  <c r="X28" i="5"/>
  <c r="S28" i="5"/>
  <c r="N28" i="5"/>
  <c r="I28" i="5"/>
  <c r="J28" i="5" s="1"/>
  <c r="AC27" i="5"/>
  <c r="X27" i="5"/>
  <c r="S27" i="5"/>
  <c r="N27" i="5"/>
  <c r="I27" i="5"/>
  <c r="J27" i="5" s="1"/>
  <c r="K27" i="5" s="1"/>
  <c r="H49" i="5"/>
  <c r="F49" i="5"/>
  <c r="AC48" i="5"/>
  <c r="X48" i="5"/>
  <c r="S48" i="5"/>
  <c r="N48" i="5"/>
  <c r="I48" i="5"/>
  <c r="J48" i="5" s="1"/>
  <c r="AC47" i="5"/>
  <c r="X47" i="5"/>
  <c r="S47" i="5"/>
  <c r="N47" i="5"/>
  <c r="I47" i="5"/>
  <c r="J47" i="5" s="1"/>
  <c r="AC46" i="5"/>
  <c r="X46" i="5"/>
  <c r="S46" i="5"/>
  <c r="N46" i="5"/>
  <c r="I46" i="5"/>
  <c r="J46" i="5" s="1"/>
  <c r="AC45" i="5"/>
  <c r="X45" i="5"/>
  <c r="S45" i="5"/>
  <c r="N45" i="5"/>
  <c r="I45" i="5"/>
  <c r="J45" i="5" s="1"/>
  <c r="M45" i="5" s="1"/>
  <c r="AC44" i="5"/>
  <c r="X44" i="5"/>
  <c r="S44" i="5"/>
  <c r="N44" i="5"/>
  <c r="I44" i="5"/>
  <c r="J44" i="5" s="1"/>
  <c r="M44" i="5" s="1"/>
  <c r="AC43" i="5"/>
  <c r="X43" i="5"/>
  <c r="S43" i="5"/>
  <c r="N43" i="5"/>
  <c r="I43" i="5"/>
  <c r="J43" i="5" s="1"/>
  <c r="M43" i="5" s="1"/>
  <c r="AC42" i="5"/>
  <c r="X42" i="5"/>
  <c r="S42" i="5"/>
  <c r="N42" i="5"/>
  <c r="I42" i="5"/>
  <c r="J42" i="5" s="1"/>
  <c r="K42" i="5" s="1"/>
  <c r="AC41" i="5"/>
  <c r="X41" i="5"/>
  <c r="S41" i="5"/>
  <c r="N41" i="5"/>
  <c r="I41" i="5"/>
  <c r="H64" i="5"/>
  <c r="F64" i="5"/>
  <c r="AC63" i="5"/>
  <c r="X63" i="5"/>
  <c r="S63" i="5"/>
  <c r="N63" i="5"/>
  <c r="I63" i="5"/>
  <c r="J63" i="5" s="1"/>
  <c r="AC62" i="5"/>
  <c r="X62" i="5"/>
  <c r="S62" i="5"/>
  <c r="N62" i="5"/>
  <c r="I62" i="5"/>
  <c r="J62" i="5" s="1"/>
  <c r="AC61" i="5"/>
  <c r="X61" i="5"/>
  <c r="S61" i="5"/>
  <c r="N61" i="5"/>
  <c r="I61" i="5"/>
  <c r="J61" i="5" s="1"/>
  <c r="M61" i="5" s="1"/>
  <c r="AC60" i="5"/>
  <c r="X60" i="5"/>
  <c r="S60" i="5"/>
  <c r="N60" i="5"/>
  <c r="I60" i="5"/>
  <c r="J60" i="5" s="1"/>
  <c r="K60" i="5" s="1"/>
  <c r="AC59" i="5"/>
  <c r="X59" i="5"/>
  <c r="S59" i="5"/>
  <c r="N59" i="5"/>
  <c r="I59" i="5"/>
  <c r="J59" i="5" s="1"/>
  <c r="AC58" i="5"/>
  <c r="X58" i="5"/>
  <c r="S58" i="5"/>
  <c r="N58" i="5"/>
  <c r="I58" i="5"/>
  <c r="J58" i="5" s="1"/>
  <c r="AC57" i="5"/>
  <c r="X57" i="5"/>
  <c r="S57" i="5"/>
  <c r="N57" i="5"/>
  <c r="I57" i="5"/>
  <c r="J57" i="5" s="1"/>
  <c r="AC56" i="5"/>
  <c r="X56" i="5"/>
  <c r="S56" i="5"/>
  <c r="N56" i="5"/>
  <c r="I56" i="5"/>
  <c r="AC77" i="5"/>
  <c r="X77" i="5"/>
  <c r="S77" i="5"/>
  <c r="N77" i="5"/>
  <c r="I77" i="5"/>
  <c r="J77" i="5" s="1"/>
  <c r="AC76" i="5"/>
  <c r="X76" i="5"/>
  <c r="S76" i="5"/>
  <c r="N76" i="5"/>
  <c r="I76" i="5"/>
  <c r="J76" i="5" s="1"/>
  <c r="AC75" i="5"/>
  <c r="X75" i="5"/>
  <c r="S75" i="5"/>
  <c r="N75" i="5"/>
  <c r="I75" i="5"/>
  <c r="J75" i="5" s="1"/>
  <c r="AC74" i="5"/>
  <c r="X74" i="5"/>
  <c r="S74" i="5"/>
  <c r="N74" i="5"/>
  <c r="I74" i="5"/>
  <c r="J74" i="5" s="1"/>
  <c r="AC73" i="5"/>
  <c r="X73" i="5"/>
  <c r="S73" i="5"/>
  <c r="N73" i="5"/>
  <c r="I73" i="5"/>
  <c r="J73" i="5" s="1"/>
  <c r="AC72" i="5"/>
  <c r="X72" i="5"/>
  <c r="S72" i="5"/>
  <c r="N72" i="5"/>
  <c r="I72" i="5"/>
  <c r="J72" i="5" s="1"/>
  <c r="M72" i="5" s="1"/>
  <c r="AC71" i="5"/>
  <c r="X71" i="5"/>
  <c r="S71" i="5"/>
  <c r="N71" i="5"/>
  <c r="I71" i="5"/>
  <c r="J71" i="5" s="1"/>
  <c r="M71" i="5" s="1"/>
  <c r="E62" i="2"/>
  <c r="F62" i="2"/>
  <c r="G62" i="2"/>
  <c r="H62" i="2"/>
  <c r="L8" i="2" l="1"/>
  <c r="K30" i="2"/>
  <c r="D20" i="1"/>
  <c r="N21" i="5"/>
  <c r="M32" i="5"/>
  <c r="O32" i="5" s="1"/>
  <c r="R32" i="5" s="1"/>
  <c r="T32" i="5" s="1"/>
  <c r="W32" i="5" s="1"/>
  <c r="K32" i="5"/>
  <c r="AC35" i="5"/>
  <c r="S64" i="5"/>
  <c r="I21" i="5"/>
  <c r="M27" i="5"/>
  <c r="O27" i="5" s="1"/>
  <c r="AC21" i="5"/>
  <c r="X35" i="5"/>
  <c r="S35" i="5"/>
  <c r="K30" i="5"/>
  <c r="S21" i="5"/>
  <c r="N35" i="5"/>
  <c r="X21" i="5"/>
  <c r="M14" i="5"/>
  <c r="K14" i="5"/>
  <c r="M20" i="5"/>
  <c r="K20" i="5"/>
  <c r="O17" i="5"/>
  <c r="R17" i="5" s="1"/>
  <c r="M16" i="5"/>
  <c r="K16" i="5"/>
  <c r="K19" i="5"/>
  <c r="M19" i="5"/>
  <c r="O15" i="5"/>
  <c r="R15" i="5" s="1"/>
  <c r="M18" i="5"/>
  <c r="K18" i="5"/>
  <c r="K17" i="5"/>
  <c r="K15" i="5"/>
  <c r="J13" i="5"/>
  <c r="J35" i="5"/>
  <c r="O34" i="5"/>
  <c r="R34" i="5" s="1"/>
  <c r="M29" i="5"/>
  <c r="K29" i="5"/>
  <c r="K33" i="5"/>
  <c r="M33" i="5"/>
  <c r="O30" i="5"/>
  <c r="R30" i="5" s="1"/>
  <c r="M28" i="5"/>
  <c r="K28" i="5"/>
  <c r="M31" i="5"/>
  <c r="K31" i="5"/>
  <c r="K34" i="5"/>
  <c r="I35" i="5"/>
  <c r="AC64" i="5"/>
  <c r="I49" i="5"/>
  <c r="M42" i="5"/>
  <c r="O42" i="5" s="1"/>
  <c r="R42" i="5" s="1"/>
  <c r="N49" i="5"/>
  <c r="J60" i="2" s="1"/>
  <c r="C5" i="34" s="1"/>
  <c r="S49" i="5"/>
  <c r="K60" i="2" s="1"/>
  <c r="X49" i="5"/>
  <c r="L60" i="2" s="1"/>
  <c r="I64" i="5"/>
  <c r="N64" i="5"/>
  <c r="AC49" i="5"/>
  <c r="M60" i="2" s="1"/>
  <c r="X64" i="5"/>
  <c r="M48" i="5"/>
  <c r="K48" i="5"/>
  <c r="O45" i="5"/>
  <c r="R45" i="5" s="1"/>
  <c r="O44" i="5"/>
  <c r="R44" i="5" s="1"/>
  <c r="K47" i="5"/>
  <c r="M47" i="5"/>
  <c r="O43" i="5"/>
  <c r="R43" i="5" s="1"/>
  <c r="M46" i="5"/>
  <c r="K46" i="5"/>
  <c r="K45" i="5"/>
  <c r="K43" i="5"/>
  <c r="J41" i="5"/>
  <c r="K44" i="5"/>
  <c r="M63" i="5"/>
  <c r="K63" i="5"/>
  <c r="M59" i="5"/>
  <c r="K59" i="5"/>
  <c r="M58" i="5"/>
  <c r="K58" i="5"/>
  <c r="K57" i="5"/>
  <c r="M57" i="5"/>
  <c r="K62" i="5"/>
  <c r="M62" i="5"/>
  <c r="O61" i="5"/>
  <c r="R61" i="5" s="1"/>
  <c r="M60" i="5"/>
  <c r="J56" i="5"/>
  <c r="K61" i="5"/>
  <c r="M75" i="5"/>
  <c r="K75" i="5"/>
  <c r="O72" i="5"/>
  <c r="R72" i="5" s="1"/>
  <c r="M77" i="5"/>
  <c r="K77" i="5"/>
  <c r="O71" i="5"/>
  <c r="R71" i="5" s="1"/>
  <c r="K74" i="5"/>
  <c r="M74" i="5"/>
  <c r="M76" i="5"/>
  <c r="K76" i="5"/>
  <c r="M73" i="5"/>
  <c r="K73" i="5"/>
  <c r="K72" i="5"/>
  <c r="K71" i="5"/>
  <c r="B6" i="5"/>
  <c r="A5" i="2"/>
  <c r="C8" i="1"/>
  <c r="D62" i="2"/>
  <c r="B62" i="2"/>
  <c r="M8" i="2" l="1"/>
  <c r="M30" i="2" s="1"/>
  <c r="L30" i="2"/>
  <c r="P61" i="5"/>
  <c r="P45" i="5"/>
  <c r="P32" i="5"/>
  <c r="P17" i="5"/>
  <c r="K35" i="5"/>
  <c r="O18" i="5"/>
  <c r="R18" i="5" s="1"/>
  <c r="P15" i="5"/>
  <c r="O19" i="5"/>
  <c r="R19" i="5" s="1"/>
  <c r="J21" i="5"/>
  <c r="M13" i="5"/>
  <c r="M21" i="5" s="1"/>
  <c r="K13" i="5"/>
  <c r="K21" i="5" s="1"/>
  <c r="O14" i="5"/>
  <c r="R14" i="5" s="1"/>
  <c r="T15" i="5"/>
  <c r="W15" i="5" s="1"/>
  <c r="O20" i="5"/>
  <c r="R20" i="5" s="1"/>
  <c r="O16" i="5"/>
  <c r="R16" i="5" s="1"/>
  <c r="T17" i="5"/>
  <c r="W17" i="5" s="1"/>
  <c r="M35" i="5"/>
  <c r="U32" i="5"/>
  <c r="T34" i="5"/>
  <c r="W34" i="5" s="1"/>
  <c r="R27" i="5"/>
  <c r="P30" i="5"/>
  <c r="Y32" i="5"/>
  <c r="AB32" i="5" s="1"/>
  <c r="P27" i="5"/>
  <c r="O33" i="5"/>
  <c r="R33" i="5" s="1"/>
  <c r="O31" i="5"/>
  <c r="R31" i="5" s="1"/>
  <c r="O29" i="5"/>
  <c r="R29" i="5" s="1"/>
  <c r="O28" i="5"/>
  <c r="R28" i="5" s="1"/>
  <c r="T30" i="5"/>
  <c r="W30" i="5" s="1"/>
  <c r="P34" i="5"/>
  <c r="P43" i="5"/>
  <c r="O48" i="5"/>
  <c r="R48" i="5" s="1"/>
  <c r="J49" i="5"/>
  <c r="M41" i="5"/>
  <c r="K41" i="5"/>
  <c r="K49" i="5" s="1"/>
  <c r="O47" i="5"/>
  <c r="R47" i="5" s="1"/>
  <c r="P42" i="5"/>
  <c r="O46" i="5"/>
  <c r="R46" i="5" s="1"/>
  <c r="T43" i="5"/>
  <c r="W43" i="5" s="1"/>
  <c r="T42" i="5"/>
  <c r="W42" i="5" s="1"/>
  <c r="T44" i="5"/>
  <c r="W44" i="5" s="1"/>
  <c r="P44" i="5"/>
  <c r="T45" i="5"/>
  <c r="W45" i="5" s="1"/>
  <c r="O60" i="5"/>
  <c r="R60" i="5" s="1"/>
  <c r="O58" i="5"/>
  <c r="R58" i="5" s="1"/>
  <c r="J64" i="5"/>
  <c r="M56" i="5"/>
  <c r="K56" i="5"/>
  <c r="K64" i="5" s="1"/>
  <c r="O57" i="5"/>
  <c r="R57" i="5" s="1"/>
  <c r="T61" i="5"/>
  <c r="W61" i="5" s="1"/>
  <c r="O59" i="5"/>
  <c r="R59" i="5" s="1"/>
  <c r="O62" i="5"/>
  <c r="R62" i="5" s="1"/>
  <c r="O63" i="5"/>
  <c r="R63" i="5" s="1"/>
  <c r="P71" i="5"/>
  <c r="P72" i="5"/>
  <c r="O76" i="5"/>
  <c r="R76" i="5" s="1"/>
  <c r="O74" i="5"/>
  <c r="R74" i="5" s="1"/>
  <c r="O75" i="5"/>
  <c r="R75" i="5" s="1"/>
  <c r="T71" i="5"/>
  <c r="W71" i="5" s="1"/>
  <c r="O73" i="5"/>
  <c r="R73" i="5" s="1"/>
  <c r="O77" i="5"/>
  <c r="R77" i="5" s="1"/>
  <c r="T72" i="5"/>
  <c r="W72" i="5" s="1"/>
  <c r="D9" i="30" l="1"/>
  <c r="P31" i="5"/>
  <c r="P46" i="5"/>
  <c r="P18" i="5"/>
  <c r="U15" i="5"/>
  <c r="Y17" i="5"/>
  <c r="AB17" i="5" s="1"/>
  <c r="T16" i="5"/>
  <c r="W16" i="5" s="1"/>
  <c r="T14" i="5"/>
  <c r="W14" i="5" s="1"/>
  <c r="P16" i="5"/>
  <c r="O13" i="5"/>
  <c r="P20" i="5"/>
  <c r="T19" i="5"/>
  <c r="W19" i="5" s="1"/>
  <c r="Y15" i="5"/>
  <c r="AB15" i="5" s="1"/>
  <c r="P19" i="5"/>
  <c r="T20" i="5"/>
  <c r="W20" i="5" s="1"/>
  <c r="U17" i="5"/>
  <c r="P14" i="5"/>
  <c r="T18" i="5"/>
  <c r="W18" i="5" s="1"/>
  <c r="Z32" i="5"/>
  <c r="P28" i="5"/>
  <c r="O35" i="5"/>
  <c r="Y30" i="5"/>
  <c r="AB30" i="5" s="1"/>
  <c r="T33" i="5"/>
  <c r="W33" i="5" s="1"/>
  <c r="Y34" i="5"/>
  <c r="AB34" i="5" s="1"/>
  <c r="U30" i="5"/>
  <c r="P33" i="5"/>
  <c r="U34" i="5"/>
  <c r="T28" i="5"/>
  <c r="W28" i="5" s="1"/>
  <c r="T29" i="5"/>
  <c r="W29" i="5" s="1"/>
  <c r="AD32" i="5"/>
  <c r="AE32" i="5" s="1"/>
  <c r="P29" i="5"/>
  <c r="T31" i="5"/>
  <c r="W31" i="5" s="1"/>
  <c r="R35" i="5"/>
  <c r="T27" i="5"/>
  <c r="U27" i="5" s="1"/>
  <c r="P47" i="5"/>
  <c r="U42" i="5"/>
  <c r="Y45" i="5"/>
  <c r="AB45" i="5" s="1"/>
  <c r="T48" i="5"/>
  <c r="W48" i="5" s="1"/>
  <c r="T46" i="5"/>
  <c r="W46" i="5" s="1"/>
  <c r="P48" i="5"/>
  <c r="Y44" i="5"/>
  <c r="AB44" i="5" s="1"/>
  <c r="U44" i="5"/>
  <c r="T47" i="5"/>
  <c r="W47" i="5" s="1"/>
  <c r="Y42" i="5"/>
  <c r="AB42" i="5" s="1"/>
  <c r="Y43" i="5"/>
  <c r="AB43" i="5" s="1"/>
  <c r="O41" i="5"/>
  <c r="P41" i="5" s="1"/>
  <c r="M49" i="5"/>
  <c r="U45" i="5"/>
  <c r="U43" i="5"/>
  <c r="Y61" i="5"/>
  <c r="AB61" i="5" s="1"/>
  <c r="P58" i="5"/>
  <c r="U61" i="5"/>
  <c r="T60" i="5"/>
  <c r="W60" i="5" s="1"/>
  <c r="T63" i="5"/>
  <c r="W63" i="5" s="1"/>
  <c r="T57" i="5"/>
  <c r="W57" i="5" s="1"/>
  <c r="P60" i="5"/>
  <c r="P63" i="5"/>
  <c r="P57" i="5"/>
  <c r="T59" i="5"/>
  <c r="W59" i="5" s="1"/>
  <c r="T58" i="5"/>
  <c r="W58" i="5" s="1"/>
  <c r="T62" i="5"/>
  <c r="W62" i="5" s="1"/>
  <c r="P62" i="5"/>
  <c r="M64" i="5"/>
  <c r="O56" i="5"/>
  <c r="P59" i="5"/>
  <c r="P75" i="5"/>
  <c r="P73" i="5"/>
  <c r="Y72" i="5"/>
  <c r="AB72" i="5" s="1"/>
  <c r="Y71" i="5"/>
  <c r="AB71" i="5" s="1"/>
  <c r="U72" i="5"/>
  <c r="U71" i="5"/>
  <c r="T75" i="5"/>
  <c r="W75" i="5" s="1"/>
  <c r="T74" i="5"/>
  <c r="W74" i="5" s="1"/>
  <c r="P76" i="5"/>
  <c r="T77" i="5"/>
  <c r="W77" i="5" s="1"/>
  <c r="P77" i="5"/>
  <c r="T73" i="5"/>
  <c r="W73" i="5" s="1"/>
  <c r="P74" i="5"/>
  <c r="T76" i="5"/>
  <c r="W76" i="5" s="1"/>
  <c r="I67" i="2" l="1"/>
  <c r="D12" i="30"/>
  <c r="U28" i="5"/>
  <c r="U14" i="5"/>
  <c r="I76" i="2"/>
  <c r="P13" i="5"/>
  <c r="P21" i="5" s="1"/>
  <c r="O21" i="5"/>
  <c r="P35" i="5"/>
  <c r="Y20" i="5"/>
  <c r="AB20" i="5" s="1"/>
  <c r="AD17" i="5"/>
  <c r="AE17" i="5" s="1"/>
  <c r="U20" i="5"/>
  <c r="AD15" i="5"/>
  <c r="AE15" i="5" s="1"/>
  <c r="Y19" i="5"/>
  <c r="AB19" i="5" s="1"/>
  <c r="Y14" i="5"/>
  <c r="AB14" i="5" s="1"/>
  <c r="Y18" i="5"/>
  <c r="AB18" i="5" s="1"/>
  <c r="U18" i="5"/>
  <c r="U19" i="5"/>
  <c r="Y16" i="5"/>
  <c r="AB16" i="5" s="1"/>
  <c r="Z15" i="5"/>
  <c r="U16" i="5"/>
  <c r="R13" i="5"/>
  <c r="Z17" i="5"/>
  <c r="U60" i="5"/>
  <c r="Y31" i="5"/>
  <c r="AB31" i="5" s="1"/>
  <c r="U33" i="5"/>
  <c r="U31" i="5"/>
  <c r="Y28" i="5"/>
  <c r="AB28" i="5" s="1"/>
  <c r="AD30" i="5"/>
  <c r="AE30" i="5" s="1"/>
  <c r="Z30" i="5"/>
  <c r="Y33" i="5"/>
  <c r="AB33" i="5" s="1"/>
  <c r="T35" i="5"/>
  <c r="W27" i="5"/>
  <c r="Y29" i="5"/>
  <c r="AB29" i="5" s="1"/>
  <c r="AD34" i="5"/>
  <c r="AE34" i="5" s="1"/>
  <c r="U29" i="5"/>
  <c r="Z34" i="5"/>
  <c r="Z44" i="5"/>
  <c r="P49" i="5"/>
  <c r="J61" i="2" s="1"/>
  <c r="C4" i="34" s="1"/>
  <c r="Z61" i="5"/>
  <c r="U57" i="5"/>
  <c r="AD43" i="5"/>
  <c r="AE43" i="5" s="1"/>
  <c r="Z43" i="5"/>
  <c r="Y46" i="5"/>
  <c r="AB46" i="5" s="1"/>
  <c r="Z42" i="5"/>
  <c r="U46" i="5"/>
  <c r="AD42" i="5"/>
  <c r="AE42" i="5" s="1"/>
  <c r="Y47" i="5"/>
  <c r="AB47" i="5" s="1"/>
  <c r="Y48" i="5"/>
  <c r="AB48" i="5" s="1"/>
  <c r="U47" i="5"/>
  <c r="U48" i="5"/>
  <c r="AD45" i="5"/>
  <c r="AE45" i="5" s="1"/>
  <c r="O49" i="5"/>
  <c r="R41" i="5"/>
  <c r="AD44" i="5"/>
  <c r="AE44" i="5" s="1"/>
  <c r="Z45" i="5"/>
  <c r="Y62" i="5"/>
  <c r="AB62" i="5" s="1"/>
  <c r="U62" i="5"/>
  <c r="Y58" i="5"/>
  <c r="AB58" i="5" s="1"/>
  <c r="Y57" i="5"/>
  <c r="AB57" i="5" s="1"/>
  <c r="AD61" i="5"/>
  <c r="AE61" i="5" s="1"/>
  <c r="U58" i="5"/>
  <c r="U63" i="5"/>
  <c r="O64" i="5"/>
  <c r="R56" i="5"/>
  <c r="Y59" i="5"/>
  <c r="AB59" i="5" s="1"/>
  <c r="Y63" i="5"/>
  <c r="AB63" i="5" s="1"/>
  <c r="U59" i="5"/>
  <c r="P56" i="5"/>
  <c r="P64" i="5" s="1"/>
  <c r="Y60" i="5"/>
  <c r="AB60" i="5" s="1"/>
  <c r="U77" i="5"/>
  <c r="Z71" i="5"/>
  <c r="U73" i="5"/>
  <c r="U75" i="5"/>
  <c r="U74" i="5"/>
  <c r="Y77" i="5"/>
  <c r="AB77" i="5" s="1"/>
  <c r="Y76" i="5"/>
  <c r="AB76" i="5" s="1"/>
  <c r="U76" i="5"/>
  <c r="Y74" i="5"/>
  <c r="AB74" i="5" s="1"/>
  <c r="AD71" i="5"/>
  <c r="AE71" i="5" s="1"/>
  <c r="AD72" i="5"/>
  <c r="AE72" i="5" s="1"/>
  <c r="Y73" i="5"/>
  <c r="AB73" i="5" s="1"/>
  <c r="Y75" i="5"/>
  <c r="AB75" i="5" s="1"/>
  <c r="Z72" i="5"/>
  <c r="E9" i="30" l="1"/>
  <c r="Z19" i="5"/>
  <c r="J76" i="2"/>
  <c r="J67" i="2"/>
  <c r="Z16" i="5"/>
  <c r="Z14" i="5"/>
  <c r="U35" i="5"/>
  <c r="Z18" i="5"/>
  <c r="AD18" i="5"/>
  <c r="AE18" i="5" s="1"/>
  <c r="R21" i="5"/>
  <c r="T13" i="5"/>
  <c r="AD14" i="5"/>
  <c r="AE14" i="5" s="1"/>
  <c r="AD20" i="5"/>
  <c r="AE20" i="5" s="1"/>
  <c r="AD16" i="5"/>
  <c r="AE16" i="5" s="1"/>
  <c r="AD19" i="5"/>
  <c r="AE19" i="5" s="1"/>
  <c r="Z20" i="5"/>
  <c r="Z29" i="5"/>
  <c r="W35" i="5"/>
  <c r="Y27" i="5"/>
  <c r="AD28" i="5"/>
  <c r="AE28" i="5" s="1"/>
  <c r="AD29" i="5"/>
  <c r="AE29" i="5" s="1"/>
  <c r="Z28" i="5"/>
  <c r="AD33" i="5"/>
  <c r="AE33" i="5" s="1"/>
  <c r="Z33" i="5"/>
  <c r="AD31" i="5"/>
  <c r="AE31" i="5" s="1"/>
  <c r="Z31" i="5"/>
  <c r="Z46" i="5"/>
  <c r="R49" i="5"/>
  <c r="T41" i="5"/>
  <c r="U41" i="5" s="1"/>
  <c r="U49" i="5" s="1"/>
  <c r="K61" i="2" s="1"/>
  <c r="AD47" i="5"/>
  <c r="AE47" i="5" s="1"/>
  <c r="AD46" i="5"/>
  <c r="AE46" i="5" s="1"/>
  <c r="AD48" i="5"/>
  <c r="AE48" i="5" s="1"/>
  <c r="Z48" i="5"/>
  <c r="Z47" i="5"/>
  <c r="Z62" i="5"/>
  <c r="Z63" i="5"/>
  <c r="AD59" i="5"/>
  <c r="AE59" i="5" s="1"/>
  <c r="AD57" i="5"/>
  <c r="AE57" i="5" s="1"/>
  <c r="AD63" i="5"/>
  <c r="AE63" i="5" s="1"/>
  <c r="Z59" i="5"/>
  <c r="Z57" i="5"/>
  <c r="AD60" i="5"/>
  <c r="AE60" i="5" s="1"/>
  <c r="R64" i="5"/>
  <c r="T56" i="5"/>
  <c r="AD58" i="5"/>
  <c r="AE58" i="5" s="1"/>
  <c r="Z60" i="5"/>
  <c r="Z58" i="5"/>
  <c r="AD62" i="5"/>
  <c r="AE62" i="5" s="1"/>
  <c r="Z73" i="5"/>
  <c r="Z76" i="5"/>
  <c r="AD77" i="5"/>
  <c r="AE77" i="5" s="1"/>
  <c r="Z77" i="5"/>
  <c r="AD75" i="5"/>
  <c r="AE75" i="5" s="1"/>
  <c r="AD74" i="5"/>
  <c r="AE74" i="5" s="1"/>
  <c r="Z75" i="5"/>
  <c r="Z74" i="5"/>
  <c r="AD73" i="5"/>
  <c r="AE73" i="5" s="1"/>
  <c r="AD76" i="5"/>
  <c r="AE76" i="5" s="1"/>
  <c r="K67" i="2" l="1"/>
  <c r="T21" i="5"/>
  <c r="W13" i="5"/>
  <c r="U13" i="5"/>
  <c r="U21" i="5" s="1"/>
  <c r="Y35" i="5"/>
  <c r="AB27" i="5"/>
  <c r="Z27" i="5"/>
  <c r="Z35" i="5" s="1"/>
  <c r="T49" i="5"/>
  <c r="W41" i="5"/>
  <c r="T64" i="5"/>
  <c r="W56" i="5"/>
  <c r="U56" i="5"/>
  <c r="U64" i="5" s="1"/>
  <c r="K76" i="2" l="1"/>
  <c r="W21" i="5"/>
  <c r="Y13" i="5"/>
  <c r="Z13" i="5" s="1"/>
  <c r="Z21" i="5" s="1"/>
  <c r="AB35" i="5"/>
  <c r="AD27" i="5"/>
  <c r="AD35" i="5" s="1"/>
  <c r="W49" i="5"/>
  <c r="Y41" i="5"/>
  <c r="Z41" i="5" s="1"/>
  <c r="Z49" i="5" s="1"/>
  <c r="L61" i="2" s="1"/>
  <c r="W64" i="5"/>
  <c r="Y56" i="5"/>
  <c r="Z56" i="5" s="1"/>
  <c r="Z64" i="5" s="1"/>
  <c r="L67" i="2" l="1"/>
  <c r="Y21" i="5"/>
  <c r="AB13" i="5"/>
  <c r="AE27" i="5"/>
  <c r="AE35" i="5" s="1"/>
  <c r="Y49" i="5"/>
  <c r="AB41" i="5"/>
  <c r="Y64" i="5"/>
  <c r="AB56" i="5"/>
  <c r="L76" i="2" l="1"/>
  <c r="AB21" i="5"/>
  <c r="AD13" i="5"/>
  <c r="AD21" i="5" s="1"/>
  <c r="AB49" i="5"/>
  <c r="AD41" i="5"/>
  <c r="AD49" i="5" s="1"/>
  <c r="AB64" i="5"/>
  <c r="AD56" i="5"/>
  <c r="AD64" i="5" s="1"/>
  <c r="AE13" i="5" l="1"/>
  <c r="AE21" i="5" s="1"/>
  <c r="AE56" i="5"/>
  <c r="AE64" i="5" s="1"/>
  <c r="AE41" i="5"/>
  <c r="AE49" i="5" s="1"/>
  <c r="M61" i="2" s="1"/>
  <c r="M67" i="2" l="1"/>
  <c r="M76" i="2" l="1"/>
  <c r="J9" i="2" l="1"/>
  <c r="K9" i="2"/>
  <c r="L9" i="2"/>
  <c r="M9" i="2"/>
  <c r="I9" i="2"/>
  <c r="AC70" i="5" l="1"/>
  <c r="AC78" i="5" s="1"/>
  <c r="X70" i="5"/>
  <c r="X78" i="5" s="1"/>
  <c r="S70" i="5"/>
  <c r="S78" i="5" s="1"/>
  <c r="N70" i="5"/>
  <c r="N78" i="5" s="1"/>
  <c r="I70" i="5"/>
  <c r="J70" i="5" s="1"/>
  <c r="K70" i="5" l="1"/>
  <c r="M70" i="5"/>
  <c r="M78" i="5" s="1"/>
  <c r="O70" i="5" l="1"/>
  <c r="R70" i="5" l="1"/>
  <c r="R78" i="5" s="1"/>
  <c r="O78" i="5"/>
  <c r="P70" i="5"/>
  <c r="P78" i="5" s="1"/>
  <c r="T70" i="5" l="1"/>
  <c r="U70" i="5" s="1"/>
  <c r="U78" i="5" s="1"/>
  <c r="K78" i="5"/>
  <c r="J78" i="5"/>
  <c r="I78" i="5"/>
  <c r="H78" i="5"/>
  <c r="F78" i="5"/>
  <c r="T78" i="5" l="1"/>
  <c r="W70" i="5"/>
  <c r="W78" i="5" s="1"/>
  <c r="Y70" i="5" l="1"/>
  <c r="AB70" i="5" s="1"/>
  <c r="B67" i="5"/>
  <c r="B53" i="5"/>
  <c r="B38" i="5"/>
  <c r="B24" i="5"/>
  <c r="B10" i="5"/>
  <c r="C26" i="1"/>
  <c r="C20" i="1"/>
  <c r="C14" i="1"/>
  <c r="C7" i="1"/>
  <c r="C6" i="1"/>
  <c r="C5" i="1"/>
  <c r="Z70" i="5" l="1"/>
  <c r="Z78" i="5" s="1"/>
  <c r="Y78" i="5"/>
  <c r="AB78" i="5"/>
  <c r="AD70" i="5"/>
  <c r="B5" i="5"/>
  <c r="D4" i="2"/>
  <c r="AD78" i="5" l="1"/>
  <c r="AE70" i="5"/>
  <c r="AE78" i="5" s="1"/>
  <c r="I20" i="1"/>
  <c r="B6" i="30" l="1"/>
  <c r="B64" i="2"/>
  <c r="B5" i="30" l="1"/>
  <c r="I27" i="2"/>
  <c r="I74" i="2"/>
  <c r="E13" i="1"/>
  <c r="D4" i="30" l="1"/>
  <c r="B4" i="30"/>
  <c r="B10" i="30" s="1"/>
  <c r="I73" i="2"/>
  <c r="K27" i="2"/>
  <c r="K73" i="2" s="1"/>
  <c r="L27" i="2"/>
  <c r="L73" i="2" s="1"/>
  <c r="J27" i="2"/>
  <c r="E4" i="30" s="1"/>
  <c r="C4" i="30"/>
  <c r="M27" i="2"/>
  <c r="M73" i="2" s="1"/>
  <c r="F13" i="1"/>
  <c r="G13" i="1" s="1"/>
  <c r="H13" i="1" s="1"/>
  <c r="I13" i="1" s="1"/>
  <c r="J73" i="2" l="1"/>
  <c r="J13" i="1"/>
  <c r="C8" i="34" l="1"/>
  <c r="F8" i="34" s="1"/>
  <c r="G8" i="34" l="1"/>
  <c r="H8" i="34" s="1"/>
  <c r="I8" i="34" s="1"/>
  <c r="J8" i="34" s="1"/>
  <c r="K8" i="34" s="1"/>
  <c r="L8" i="34" s="1"/>
  <c r="M8" i="34" s="1"/>
  <c r="N8" i="34" s="1"/>
  <c r="E8" i="34"/>
  <c r="C9" i="34"/>
  <c r="C7" i="34"/>
  <c r="C5" i="30"/>
  <c r="C6" i="30"/>
  <c r="D7" i="34" l="1"/>
  <c r="F7" i="34"/>
  <c r="G7" i="34" s="1"/>
  <c r="H7" i="34" s="1"/>
  <c r="I7" i="34" s="1"/>
  <c r="J7" i="34" s="1"/>
  <c r="K7" i="34" s="1"/>
  <c r="L7" i="34" s="1"/>
  <c r="M7" i="34" s="1"/>
  <c r="N7" i="34" s="1"/>
  <c r="E5" i="30"/>
  <c r="C3" i="34"/>
  <c r="E6" i="30"/>
  <c r="C6" i="34"/>
  <c r="F9" i="34"/>
  <c r="G9" i="34" s="1"/>
  <c r="H9" i="34" s="1"/>
  <c r="I9" i="34" s="1"/>
  <c r="J9" i="34" s="1"/>
  <c r="K9" i="34" s="1"/>
  <c r="L9" i="34" s="1"/>
  <c r="M9" i="34" s="1"/>
  <c r="N9" i="34" s="1"/>
  <c r="D9" i="34"/>
  <c r="C10" i="30"/>
  <c r="J78" i="2"/>
  <c r="K78" i="2"/>
  <c r="J74" i="2"/>
  <c r="K79" i="2" l="1"/>
  <c r="F6" i="34"/>
  <c r="G6" i="34" s="1"/>
  <c r="H6" i="34" s="1"/>
  <c r="I6" i="34" s="1"/>
  <c r="J6" i="34" s="1"/>
  <c r="K6" i="34" s="1"/>
  <c r="L6" i="34" s="1"/>
  <c r="M6" i="34" s="1"/>
  <c r="N6" i="34" s="1"/>
  <c r="D6" i="34"/>
  <c r="F3" i="34"/>
  <c r="G3" i="34"/>
  <c r="D3" i="34"/>
  <c r="C10" i="34"/>
  <c r="H3" i="34"/>
  <c r="L78" i="2"/>
  <c r="L79" i="2" s="1"/>
  <c r="K74" i="2"/>
  <c r="G10" i="34" l="1"/>
  <c r="F10" i="34"/>
  <c r="I3" i="34"/>
  <c r="I10" i="34" s="1"/>
  <c r="H10" i="34"/>
  <c r="D10" i="34"/>
  <c r="E3" i="34"/>
  <c r="E9" i="34"/>
  <c r="E6" i="34"/>
  <c r="E7" i="34"/>
  <c r="E12" i="30"/>
  <c r="E7" i="30"/>
  <c r="E10" i="30" s="1"/>
  <c r="E11" i="30" s="1"/>
  <c r="M78" i="2"/>
  <c r="M79" i="2" s="1"/>
  <c r="L74" i="2"/>
  <c r="E10" i="34" l="1"/>
  <c r="J3" i="34"/>
  <c r="D7" i="30"/>
  <c r="J62" i="2"/>
  <c r="J75" i="2"/>
  <c r="M74" i="2"/>
  <c r="K3" i="34" l="1"/>
  <c r="J10" i="34"/>
  <c r="J64" i="2"/>
  <c r="J68" i="2" s="1"/>
  <c r="J79" i="2"/>
  <c r="J80" i="2" s="1"/>
  <c r="K62" i="2"/>
  <c r="K75" i="2"/>
  <c r="I75" i="2"/>
  <c r="L3" i="34" l="1"/>
  <c r="K10" i="34"/>
  <c r="F14" i="1"/>
  <c r="K64" i="2"/>
  <c r="G14" i="1" s="1"/>
  <c r="K80" i="2"/>
  <c r="L62" i="2"/>
  <c r="L75" i="2"/>
  <c r="K68" i="2" l="1"/>
  <c r="M3" i="34"/>
  <c r="L10" i="34"/>
  <c r="L64" i="2"/>
  <c r="L68" i="2" s="1"/>
  <c r="L80" i="2"/>
  <c r="M62" i="2"/>
  <c r="M75" i="2"/>
  <c r="H14" i="1" l="1"/>
  <c r="N3" i="34"/>
  <c r="N10" i="34" s="1"/>
  <c r="M10" i="34"/>
  <c r="M64" i="2"/>
  <c r="I14" i="1" s="1"/>
  <c r="M80" i="2"/>
  <c r="M68" i="2" l="1"/>
  <c r="D8" i="30" l="1"/>
  <c r="D10" i="30" s="1"/>
  <c r="D11" i="30" s="1"/>
  <c r="I62" i="2"/>
  <c r="I64" i="2" s="1"/>
  <c r="I68" i="2" l="1"/>
  <c r="E14" i="1"/>
  <c r="J14" i="1" s="1"/>
  <c r="D26" i="1" l="1"/>
  <c r="E2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<sst xmlns="http://schemas.openxmlformats.org/spreadsheetml/2006/main" count="2296" uniqueCount="796">
  <si>
    <t>LONDON NORTH WEST UNIVERSITY HEALTHCARE NHS TRUST</t>
  </si>
  <si>
    <t>Finance Department</t>
  </si>
  <si>
    <t>Option 2</t>
  </si>
  <si>
    <t>Income</t>
  </si>
  <si>
    <t>Activity</t>
  </si>
  <si>
    <t>TOTAL  INCOME</t>
  </si>
  <si>
    <t>Expenditure</t>
  </si>
  <si>
    <t>Drugs</t>
  </si>
  <si>
    <t>Depreciation</t>
  </si>
  <si>
    <t>Cost of Capital (3.5%)</t>
  </si>
  <si>
    <t>Name of Business Case</t>
  </si>
  <si>
    <t>Year  1</t>
  </si>
  <si>
    <t>Year  2</t>
  </si>
  <si>
    <t>Year  3</t>
  </si>
  <si>
    <t>Year  4</t>
  </si>
  <si>
    <t>Year  5</t>
  </si>
  <si>
    <t>OPTION 2</t>
  </si>
  <si>
    <t>OPTION 4</t>
  </si>
  <si>
    <t>OPTION 5</t>
  </si>
  <si>
    <t>Business case financial appendices - SUMMARY</t>
  </si>
  <si>
    <t>Business case financial appendices - FINANCIAL CASE (Revenue)</t>
  </si>
  <si>
    <t>Year 1</t>
  </si>
  <si>
    <t>Year 2</t>
  </si>
  <si>
    <t>Year 3</t>
  </si>
  <si>
    <t>Year 4</t>
  </si>
  <si>
    <t>Year 5</t>
  </si>
  <si>
    <t>£000</t>
  </si>
  <si>
    <t>Option 4</t>
  </si>
  <si>
    <t>Option 5</t>
  </si>
  <si>
    <t xml:space="preserve">PYE adj </t>
  </si>
  <si>
    <t>Business case financial appendices - FINANCIAL CASE (Capital)</t>
  </si>
  <si>
    <t>IT</t>
  </si>
  <si>
    <t>Total capital investment required</t>
  </si>
  <si>
    <t>Business case financial appendices - ECONOMIC CASE</t>
  </si>
  <si>
    <t>Total</t>
  </si>
  <si>
    <t>NPV</t>
  </si>
  <si>
    <t>OPTION 1</t>
  </si>
  <si>
    <t>Revenue cash</t>
  </si>
  <si>
    <t>Capital cash</t>
  </si>
  <si>
    <t>Discounted cash flows of options £000</t>
  </si>
  <si>
    <t>Net revenue (surplus)/deficit</t>
  </si>
  <si>
    <t>Revenue cash flows for Economic Case DCF (excl cap cgs)</t>
  </si>
  <si>
    <t>Current service baseline</t>
  </si>
  <si>
    <t>figs from Revenue tab</t>
  </si>
  <si>
    <t>TAB</t>
  </si>
  <si>
    <t>Std life</t>
  </si>
  <si>
    <t>CAPITAL CHARGES</t>
  </si>
  <si>
    <t>NBV b/fwd</t>
  </si>
  <si>
    <t>Depn</t>
  </si>
  <si>
    <t>ECONOMIC APPRAISAL</t>
  </si>
  <si>
    <t>NBV cfwd</t>
  </si>
  <si>
    <t>Cost of cap</t>
  </si>
  <si>
    <t>INPUT capital</t>
  </si>
  <si>
    <t>investment</t>
  </si>
  <si>
    <t>in this column</t>
  </si>
  <si>
    <t>Option 1</t>
  </si>
  <si>
    <t>Cells shaded this colour  = input cells</t>
  </si>
  <si>
    <t>Cells shaded this colour  = cells feeding into other tabs</t>
  </si>
  <si>
    <t>Business case financial appendices - instructions for completion</t>
  </si>
  <si>
    <t>Current cost (baseline)</t>
  </si>
  <si>
    <t>Revenue tab</t>
  </si>
  <si>
    <t>Capital tab</t>
  </si>
  <si>
    <t>NET REVENUE IMPACT</t>
  </si>
  <si>
    <t>[Net (surplus)/deficit on I&amp;E]</t>
  </si>
  <si>
    <t>figs from Capital tab</t>
  </si>
  <si>
    <t>Name of business case</t>
  </si>
  <si>
    <t>STANDING DATA FOR THE BUSINESS CASE</t>
  </si>
  <si>
    <t>Operational lead</t>
  </si>
  <si>
    <t>Financial lead</t>
  </si>
  <si>
    <t>Discounted cash flow</t>
  </si>
  <si>
    <t>Name of option</t>
  </si>
  <si>
    <t>Name for each option</t>
  </si>
  <si>
    <t>Standing data</t>
  </si>
  <si>
    <t>Asset type</t>
  </si>
  <si>
    <t>Eqpt</t>
  </si>
  <si>
    <t>Wrks</t>
  </si>
  <si>
    <t>(i)</t>
  </si>
  <si>
    <t>(ii)</t>
  </si>
  <si>
    <t>(iii)</t>
  </si>
  <si>
    <t>Amend FYE factor as necessary</t>
  </si>
  <si>
    <t>Enter standing data in yellow shaded cells</t>
  </si>
  <si>
    <t>This information will appear on all tabs.</t>
  </si>
  <si>
    <t>Exclude loss on disposal/depreciation and cost of capital</t>
  </si>
  <si>
    <t>Status</t>
  </si>
  <si>
    <t>cash flows for the Economic (DCF) tab</t>
  </si>
  <si>
    <t>The Revenue tab provides output for the Summary tab and the Economic (DCF) tab</t>
  </si>
  <si>
    <t>The Capital tab provides output for the Summary tab and the Economic (DCF) tab</t>
  </si>
  <si>
    <t>Content</t>
  </si>
  <si>
    <t>(iv)</t>
  </si>
  <si>
    <t>(v)</t>
  </si>
  <si>
    <t>(vi)</t>
  </si>
  <si>
    <t>All figures here feed in from Revenue and Capital tabs - no input required here</t>
  </si>
  <si>
    <t>Cash outflows shown as negative values, inflows as positive values</t>
  </si>
  <si>
    <t>Source</t>
  </si>
  <si>
    <t>CAPITAL REQUIREMENT</t>
  </si>
  <si>
    <t>Total WTE/Expenditure</t>
  </si>
  <si>
    <t>Version date</t>
  </si>
  <si>
    <t>Enter business case title, leads, option names and version date</t>
  </si>
  <si>
    <t xml:space="preserve">All figures on the Summary tab are fed by </t>
  </si>
  <si>
    <t>In-patient income</t>
  </si>
  <si>
    <t>Non-patient related income</t>
  </si>
  <si>
    <t>PAY</t>
  </si>
  <si>
    <t>NON-PAY</t>
  </si>
  <si>
    <t>Interest payable</t>
  </si>
  <si>
    <t>POST EBITDA</t>
  </si>
  <si>
    <t>POST -EBITDA</t>
  </si>
  <si>
    <t>INCOME</t>
  </si>
  <si>
    <t>Sub-totals - memorandum info</t>
  </si>
  <si>
    <t>Enter current (baseline) income, WTE and costs of service subject to business case</t>
  </si>
  <si>
    <t>Enter changes to baseline income, WTE and costs for each option</t>
  </si>
  <si>
    <t>Enter capital investment requirement inclusive of VAT</t>
  </si>
  <si>
    <t>Complete notes and assumptions</t>
  </si>
  <si>
    <t>Business case financial appendices for over £250k investment (capital or revenue)</t>
  </si>
  <si>
    <t>Ave. Price</t>
  </si>
  <si>
    <t>Clinical Supplies &amp; Services</t>
  </si>
  <si>
    <t>Consultant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</si>
  <si>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</si>
  <si>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</si>
  <si>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</si>
  <si>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</si>
  <si>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</si>
  <si>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</si>
  <si>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</si>
  <si>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</si>
  <si>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</si>
  <si>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</si>
  <si>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</si>
  <si>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</si>
  <si>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</si>
  <si>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</si>
  <si>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</si>
  <si>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</si>
  <si>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</si>
  <si>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</si>
  <si>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</si>
  <si>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</si>
  <si>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£</t>
  </si>
  <si>
    <t>Draft</t>
  </si>
  <si>
    <t>North West London Elective Orthopaedic Centre (at CMH)</t>
  </si>
  <si>
    <t>Wendy Harrowell</t>
  </si>
  <si>
    <t xml:space="preserve"> Do Nothing+  -  Current Model plus Joint Weeks (POC)</t>
  </si>
  <si>
    <t>Option One - Base Case</t>
  </si>
  <si>
    <t>LNWH DC &amp; IP + NWL Hips &amp; Knees</t>
  </si>
  <si>
    <t>Option Four</t>
  </si>
  <si>
    <t xml:space="preserve">LNWH DC &amp; IP + NWL IP </t>
  </si>
  <si>
    <t xml:space="preserve">LNWH DC &amp; IP + NWL DC &amp; IP </t>
  </si>
  <si>
    <t xml:space="preserve">Option Six </t>
  </si>
  <si>
    <t xml:space="preserve">LNWH DC &amp; IP + NWL IP &amp; DC + NHS IP &amp; DC Cases Treated Privately </t>
  </si>
  <si>
    <t>Option Seven</t>
  </si>
  <si>
    <t>Option Five - Preferred Option</t>
  </si>
  <si>
    <t>Income £</t>
  </si>
  <si>
    <t>Option 6</t>
  </si>
  <si>
    <t>Option 7</t>
  </si>
  <si>
    <t>Do Nothing+  -  Current Model plus Joint Weeks (POC)</t>
  </si>
  <si>
    <t xml:space="preserve">Income </t>
  </si>
  <si>
    <t>NHS - Day Cases</t>
  </si>
  <si>
    <t>NHS - Elective Inpatients</t>
  </si>
  <si>
    <t>NHS - Outpatients (POA)</t>
  </si>
  <si>
    <t>No MFF Flexed as local tariff</t>
  </si>
  <si>
    <t>NHS - Critical Care Bed Days</t>
  </si>
  <si>
    <t>No MFF Flexed as local tariff (one organ supported)</t>
  </si>
  <si>
    <t>NHS - COVID Funding</t>
  </si>
  <si>
    <t>NHS - Pass Through (Drugs)</t>
  </si>
  <si>
    <t>Total Trading Income</t>
  </si>
  <si>
    <t>Other Income - Education, Training &amp; Research (HEE)</t>
  </si>
  <si>
    <t>Total Other Income</t>
  </si>
  <si>
    <t>Year 4
2022/23</t>
  </si>
  <si>
    <t>Year 5
2023/24</t>
  </si>
  <si>
    <t>Chelsea And Westminster Hospital NHS Foundation Trust</t>
  </si>
  <si>
    <t>Imperial College Healthcare NHS Trust</t>
  </si>
  <si>
    <t>London North West University Healthcare NHS Trust</t>
  </si>
  <si>
    <t>The Hillingdon Hospitals NHS Foundation Trust</t>
  </si>
  <si>
    <t>Year</t>
  </si>
  <si>
    <t>Multiplier</t>
  </si>
  <si>
    <t>Number of Development Theatres</t>
  </si>
  <si>
    <t>Equipment (Medium Term Assets) (7 Years useful Life)</t>
  </si>
  <si>
    <t>Development costs weighted based on option 5 costs as an apportionment of development theatres required</t>
  </si>
  <si>
    <t>Refurbishment (Aligned to PAC Development) (25 Years useful life)</t>
  </si>
  <si>
    <t>Development Costs (25 Years useful life)</t>
  </si>
  <si>
    <t>Includes estimates for Legal and Acumentice fees - Design fees included in refurbishment charges</t>
  </si>
  <si>
    <t>Equipment Depreciation (Annual)</t>
  </si>
  <si>
    <t>Refurbishment Depreciation (Annual)</t>
  </si>
  <si>
    <t>Development Costs Depreciation (Annual)</t>
  </si>
  <si>
    <t>Cost of Capital - Equipment Year One</t>
  </si>
  <si>
    <t>Cost of Capital - Equipment Year Two</t>
  </si>
  <si>
    <t>Cost of Capital - Equipment Year Three</t>
  </si>
  <si>
    <t>Cost of Capital - Equipment Year Four</t>
  </si>
  <si>
    <t>Cost of Capital - Equipment Year Five</t>
  </si>
  <si>
    <t>Cost of Capital - Equipment Year Six</t>
  </si>
  <si>
    <t>Cost of Capital - Equipment Year Severn</t>
  </si>
  <si>
    <t>Cost of Capital - Refurbishment Year One</t>
  </si>
  <si>
    <t>Cost of Capital - Refurbishment Year Two</t>
  </si>
  <si>
    <t>Cost of Capital - Refurbishment Year Three</t>
  </si>
  <si>
    <t>Cost of Capital - Refurbishment Year Four</t>
  </si>
  <si>
    <t>Cost of Capital - Refurbishment Year Five</t>
  </si>
  <si>
    <t>Cost of Capital - Refurbishment Year Six</t>
  </si>
  <si>
    <t>Cost of Capital - Refurbishment Year Severn</t>
  </si>
  <si>
    <t>Cost of Capital - Refurbishment Year Eight</t>
  </si>
  <si>
    <t>Cost of Capital - Refurbishment Year Nine</t>
  </si>
  <si>
    <t>Cost of Capital - Refurbishment Year Ten</t>
  </si>
  <si>
    <t>Cost of Capital - Development Costs Year One</t>
  </si>
  <si>
    <t>Cost of Capital - Development Costs Year Two</t>
  </si>
  <si>
    <t>Cost of Capital - Development Costs Year Three</t>
  </si>
  <si>
    <t>Cost of Capital - Development Costs Year Four</t>
  </si>
  <si>
    <t>Cost of Capital - Development Costs Year Five</t>
  </si>
  <si>
    <t>Cost of Capital - Development Costs Year Six</t>
  </si>
  <si>
    <t>Cost of Capital - Development Costs Year Severn</t>
  </si>
  <si>
    <t>Cost of Capital - Development Costs Year Eight</t>
  </si>
  <si>
    <t>Cost of Capital - Development Costs Year Nine</t>
  </si>
  <si>
    <t>Cost of Capital - Development Costs Year Ten</t>
  </si>
  <si>
    <t>Non-patient related income - HEE Funding</t>
  </si>
  <si>
    <t>Admin &amp; Clerical</t>
  </si>
  <si>
    <t>Allied Health Professionals</t>
  </si>
  <si>
    <t>Management</t>
  </si>
  <si>
    <t>Medical Other</t>
  </si>
  <si>
    <t>Nursing</t>
  </si>
  <si>
    <t>Pharmacists</t>
  </si>
  <si>
    <t>Overheads</t>
  </si>
  <si>
    <t>Premises Costs</t>
  </si>
  <si>
    <t>PLICS Efficiency</t>
  </si>
  <si>
    <t xml:space="preserve">ICHT </t>
  </si>
  <si>
    <t xml:space="preserve">Hillingdon </t>
  </si>
  <si>
    <t xml:space="preserve">CW </t>
  </si>
  <si>
    <t>Sector Resource Released</t>
  </si>
  <si>
    <t>No. of Additional Theatre</t>
  </si>
  <si>
    <t>Agency Premium</t>
  </si>
  <si>
    <t>Disc Fact 10%</t>
  </si>
  <si>
    <t>the other tabs - NO INPUT HERE</t>
  </si>
  <si>
    <t>NPV (25 yrs.)</t>
  </si>
  <si>
    <t>LOS</t>
  </si>
  <si>
    <t>Optimism Bias @ 23%</t>
  </si>
  <si>
    <t>Functional Unit</t>
  </si>
  <si>
    <t>Area</t>
  </si>
  <si>
    <t>Raw Cost Allowance / m2</t>
  </si>
  <si>
    <t>Inflation to Q4 20/21</t>
  </si>
  <si>
    <t>Cost Allowance / m2</t>
  </si>
  <si>
    <t>New / Refurb</t>
  </si>
  <si>
    <t>Base Cost</t>
  </si>
  <si>
    <t>Equipment</t>
  </si>
  <si>
    <t>Sub-total</t>
  </si>
  <si>
    <t>Theatre (2 No)</t>
  </si>
  <si>
    <t>As per Cost Plan</t>
  </si>
  <si>
    <t>Theatre Infrastructure</t>
  </si>
  <si>
    <t>inc</t>
  </si>
  <si>
    <t>Support Space</t>
  </si>
  <si>
    <t>Consolidated allowance for works outside the Theatre footprint  (e.g. Physio and Support Accommodation)</t>
  </si>
  <si>
    <t>Support Space - Physio</t>
  </si>
  <si>
    <t>Pre-Op and Recovery in ACAD</t>
  </si>
  <si>
    <t>Higher Acute - Abbey Suite Side Rooms</t>
  </si>
  <si>
    <t>Beds</t>
  </si>
  <si>
    <t>Beds (Extra)</t>
  </si>
  <si>
    <t>Works Costs (Q4 20/21)</t>
  </si>
  <si>
    <t>Equipment Allowance</t>
  </si>
  <si>
    <t>Sub-Total</t>
  </si>
  <si>
    <t>Project Co costs</t>
  </si>
  <si>
    <t>Estimate</t>
  </si>
  <si>
    <t xml:space="preserve">Risk Allowance </t>
  </si>
  <si>
    <t>VAT</t>
  </si>
  <si>
    <t>Modelled Capital Charges - Optimism Bias 23%</t>
  </si>
  <si>
    <t>Mitigated Capital Charges - 15%</t>
  </si>
  <si>
    <t>Hyperinflation (2% per month to completion) - 30% (15 months)</t>
  </si>
  <si>
    <t>Capital Costs</t>
  </si>
  <si>
    <t>Movement in Capital Costs</t>
  </si>
  <si>
    <t>Average Capital Charges (Revenue)</t>
  </si>
  <si>
    <t>Annual Revenue Impact</t>
  </si>
  <si>
    <t>Impact of All Pay Rates @ Inner London Weighting</t>
  </si>
  <si>
    <t>Based on Year Two</t>
  </si>
  <si>
    <t>Marginal Rate (One Year Relief)</t>
  </si>
  <si>
    <t xml:space="preserve">One Year Marginal Relief </t>
  </si>
  <si>
    <t>Admin and Clerical</t>
  </si>
  <si>
    <t xml:space="preserve">Consultant </t>
  </si>
  <si>
    <t>Pharmacist</t>
  </si>
  <si>
    <t>Total Establishment</t>
  </si>
  <si>
    <t>Average Agency Premium per Post</t>
  </si>
  <si>
    <t>NHS Pay Band (paypoint)</t>
  </si>
  <si>
    <t>20% Uplift</t>
  </si>
  <si>
    <t>15% Uplift</t>
  </si>
  <si>
    <t>5% Uplift</t>
  </si>
  <si>
    <t>Band 2 - 1st paypoint</t>
  </si>
  <si>
    <t>Band 2 - 2nd &amp; final paypoint</t>
  </si>
  <si>
    <t>Band 3 - 1st paypoint</t>
  </si>
  <si>
    <t>Band 3 - 2nd &amp; final paypoint</t>
  </si>
  <si>
    <t>Band 4 - 1st paypoint</t>
  </si>
  <si>
    <t>Band 4 - 2nd &amp; final paypoint</t>
  </si>
  <si>
    <t>Band 5 - 1st paypoint</t>
  </si>
  <si>
    <t>Band 5 - 2nd paypoint</t>
  </si>
  <si>
    <t>Band 5 - 2nd &amp; final paypoint</t>
  </si>
  <si>
    <t>Band 6 - 1st paypoint</t>
  </si>
  <si>
    <t>Band 6 - 2nd paypoint</t>
  </si>
  <si>
    <t>Band 6 - 3rd &amp; final paypoint</t>
  </si>
  <si>
    <t>Band 7 - 1st paypoint</t>
  </si>
  <si>
    <t>Band 7 - 2nd paypoint</t>
  </si>
  <si>
    <t>Band 7 - 3rd &amp; final paypoint</t>
  </si>
  <si>
    <t>Band 8A - 1st paypoint</t>
  </si>
  <si>
    <t>Band 8A - 2nd &amp; final paypoint</t>
  </si>
  <si>
    <t>Band 8B - 1st paypoint</t>
  </si>
  <si>
    <t>Band 8B - 2nd &amp; final paypoint</t>
  </si>
  <si>
    <t>Band 8C - 1st paypoint</t>
  </si>
  <si>
    <t>Band 8C - 2nd &amp; final paypoint</t>
  </si>
  <si>
    <t>Band 8D - 1st paypoint</t>
  </si>
  <si>
    <t>Band 8D - 2nd &amp; final paypoint</t>
  </si>
  <si>
    <t>Band 9 - 1st paypoint</t>
  </si>
  <si>
    <t>Band 9 - 2nd &amp; final paypoint</t>
  </si>
  <si>
    <t>Appropriate Salary Uplift £'000</t>
  </si>
  <si>
    <t>Average Salary Outer London Weighing £'000</t>
  </si>
  <si>
    <t>Annual Cost of Outer London Weighting (Including On Cost's) £'000</t>
  </si>
  <si>
    <t>5-hour list: Inpatient</t>
  </si>
  <si>
    <t>Cases per 5-hour List</t>
  </si>
  <si>
    <t>Expert Opinion</t>
  </si>
  <si>
    <t>5-hour list: Day case</t>
  </si>
  <si>
    <t>4-hour list (High Productivity): Inpatient</t>
  </si>
  <si>
    <t>Cases per 4-hour list</t>
  </si>
  <si>
    <t>4-hour list (High Productivity): Day case</t>
  </si>
  <si>
    <t>4-hour list (Low Productivity): Inpatient</t>
  </si>
  <si>
    <t>4-hour list (Low Productivity): Day case</t>
  </si>
  <si>
    <t>Productive Theatre</t>
  </si>
  <si>
    <t>Activity (Year 2)</t>
  </si>
  <si>
    <t>Equivilent 4 Hour Lists</t>
  </si>
  <si>
    <t>WLI Cost for Activity Recovery £'000</t>
  </si>
  <si>
    <t>Modelled Version</t>
  </si>
  <si>
    <t>Additional Above Modelled</t>
  </si>
  <si>
    <t>Additional Cost for Lost Productivity £'000</t>
  </si>
  <si>
    <t>LOS Risk (Based on Direct Cost Per Bed Day)</t>
  </si>
  <si>
    <t>Inpatient Activity</t>
  </si>
  <si>
    <t>Annual Number of Occupied Bed Days (Modelled Case)</t>
  </si>
  <si>
    <t>Excess Bed Days</t>
  </si>
  <si>
    <t>Average LOS</t>
  </si>
  <si>
    <t>LOS Scenarios</t>
  </si>
  <si>
    <t>Base Case (Year One)</t>
  </si>
  <si>
    <t>Base Case (Year Two)</t>
  </si>
  <si>
    <t>Pay</t>
  </si>
  <si>
    <t>Non Pay</t>
  </si>
  <si>
    <t>Sector Savings (As Per NCC)</t>
  </si>
  <si>
    <t>Capital Charges</t>
  </si>
  <si>
    <t>Total I&amp;E</t>
  </si>
  <si>
    <t>LNWH DC &amp; IP + NWL IP  (Year One)</t>
  </si>
  <si>
    <t>LNWH DC &amp; IP + NWL IP (Year Two)</t>
  </si>
  <si>
    <t>Marginal Tariff Relief</t>
  </si>
  <si>
    <t>(Improvement) Sector I&amp;E</t>
  </si>
  <si>
    <t>(Improvement) LNWH I&amp;E (Included Above)</t>
  </si>
  <si>
    <t>Modelled</t>
  </si>
  <si>
    <t>Possible</t>
  </si>
  <si>
    <t>Sensitivity Optimism Bias</t>
  </si>
  <si>
    <t>Highly Unlikely</t>
  </si>
  <si>
    <t>Comments</t>
  </si>
  <si>
    <t>Unmitigated</t>
  </si>
  <si>
    <t xml:space="preserve">Mitigated </t>
  </si>
  <si>
    <t xml:space="preserve">As 6% inflation has been built into base costings before optimism bias is applied </t>
  </si>
  <si>
    <t>Sensitivity Theatre Utilisation</t>
  </si>
  <si>
    <t>Sensitivity Length of Stay</t>
  </si>
  <si>
    <t>GIRFT</t>
  </si>
  <si>
    <t>2 IP or 4 DC per 4 Hour List</t>
  </si>
  <si>
    <t>Sensitivity Temporary Staffing</t>
  </si>
  <si>
    <t>Market</t>
  </si>
  <si>
    <t>Sensitivity Inner London Weighting</t>
  </si>
  <si>
    <t>15% Capped</t>
  </si>
  <si>
    <t>Annual Revenue Cost Change £</t>
  </si>
  <si>
    <t>Capital Costs (One Off) Change £</t>
  </si>
  <si>
    <t>8C Project Manager</t>
  </si>
  <si>
    <t>Finance for agreeing activity (Infrastructure to Keep)</t>
  </si>
  <si>
    <t>Ignore revisions at the moment</t>
  </si>
  <si>
    <t>Email Luke (PO)</t>
  </si>
  <si>
    <t>Acumentice (Specialty Huddlesand Lists)</t>
  </si>
  <si>
    <t>Current</t>
  </si>
  <si>
    <t>N/A</t>
  </si>
  <si>
    <t xml:space="preserve">Low Productivity </t>
  </si>
  <si>
    <t>High Productivity (GIRFT)</t>
  </si>
  <si>
    <t>1.75 IP or 3.5 DC per 4 Hour List</t>
  </si>
  <si>
    <t>Data taken from model hospital to provide benchmark (LOS will be slightly distorted as Model Hospital cannot differentiate activity by ASA score)</t>
  </si>
  <si>
    <t>LNWH</t>
  </si>
  <si>
    <t>PLICS Unit Charge</t>
  </si>
  <si>
    <t>Total Current Cost £'000</t>
  </si>
  <si>
    <t>Year Two Option Five</t>
  </si>
  <si>
    <t>Total Current Costs</t>
  </si>
  <si>
    <t>Incremental Change (Saving)/Cost</t>
  </si>
  <si>
    <t>Incremental Development Costs £</t>
  </si>
  <si>
    <t>Check</t>
  </si>
  <si>
    <t>Site Rationalistation</t>
  </si>
  <si>
    <t>Theatre Productivity</t>
  </si>
  <si>
    <t>Cost Group Weighting</t>
  </si>
  <si>
    <t>Incremental Activity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</si>
  <si>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</si>
  <si>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</si>
  <si>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</si>
  <si>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</si>
  <si>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</si>
  <si>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</si>
  <si>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</si>
  <si>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</si>
  <si>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</si>
  <si>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Total pay costs (not incremental change)</t>
  </si>
  <si>
    <t xml:space="preserve">Public Dividend Capital </t>
  </si>
  <si>
    <t>Year Two Costs (Without Efficencies)</t>
  </si>
  <si>
    <t>Add Back Efficencies</t>
  </si>
  <si>
    <t>Ref</t>
  </si>
  <si>
    <t>Benefit Name</t>
  </si>
  <si>
    <t>Brief description of methodology and assumptions used to calculate benefit</t>
  </si>
  <si>
    <t>Recurrent revenue saving?</t>
  </si>
  <si>
    <t>QALY or Non-QALY? (for discount rate)</t>
  </si>
  <si>
    <t>Discounted Benefits</t>
  </si>
  <si>
    <t>(1) CASH RELEASING BENEFITS</t>
  </si>
  <si>
    <t>CRB1</t>
  </si>
  <si>
    <t>Land sales/ property disposals</t>
  </si>
  <si>
    <t>N</t>
  </si>
  <si>
    <t>NON-QALY</t>
  </si>
  <si>
    <t>CRB2</t>
  </si>
  <si>
    <t xml:space="preserve">Theatre Utiliation </t>
  </si>
  <si>
    <t>Sector Resource Released - bring calculated through the financial working group, validated throw National Cost Collection Assessment</t>
  </si>
  <si>
    <t>Y</t>
  </si>
  <si>
    <t>CRB3</t>
  </si>
  <si>
    <t>Length of Stay Savings</t>
  </si>
  <si>
    <t>CRB4</t>
  </si>
  <si>
    <t>Vacated Establishment</t>
  </si>
  <si>
    <t>CRB5</t>
  </si>
  <si>
    <t>Incremental Productivity</t>
  </si>
  <si>
    <t xml:space="preserve">Value for Additional Activity (WLI Recovery and Growth) </t>
  </si>
  <si>
    <t>TOTAL: CASH RELEASING BENEFITS (NOMINAL)</t>
  </si>
  <si>
    <t>NCC Sector</t>
  </si>
  <si>
    <t>2023/24 Mobalisation Year</t>
  </si>
  <si>
    <t>Pooled</t>
  </si>
  <si>
    <t xml:space="preserve">Sensitivity Impact to Revenue </t>
  </si>
  <si>
    <t>Sensitivity Impact to Capital</t>
  </si>
  <si>
    <t xml:space="preserve">Possible impact due to patient complexity (longer to treat), planning, infrastructure or practices </t>
  </si>
  <si>
    <t>23/24 Commissioned Activity 109% @ 19/20</t>
  </si>
  <si>
    <t>24/25 Commissioned Activity 110% @ 19/20</t>
  </si>
  <si>
    <t>25/26 Commissioned Activity 111.6% @ GLA Housing Growth</t>
  </si>
  <si>
    <t>26/27 Commissioned Activity 113.4% @ GLA Housing Growth</t>
  </si>
  <si>
    <t>27/28 Commissioned Activity 115.1% @ GLA Housing Growth</t>
  </si>
  <si>
    <t>NWL Trust</t>
  </si>
  <si>
    <t>Levelled Up NCC Unit Cost</t>
  </si>
  <si>
    <t xml:space="preserve">Add Back NCC MFF </t>
  </si>
  <si>
    <t>Add Inflation</t>
  </si>
  <si>
    <t>Mobalisation Year Activity</t>
  </si>
  <si>
    <t>Allocation of Sector</t>
  </si>
  <si>
    <t>Weighted Activity - Mobalisation</t>
  </si>
  <si>
    <t>Opening Year Activity (Recurrent)</t>
  </si>
  <si>
    <t>Weighted Activity - Recurrent</t>
  </si>
  <si>
    <t>LNWH - Inpatients</t>
  </si>
  <si>
    <t>LNWH - Daycase</t>
  </si>
  <si>
    <t>Grand Total</t>
  </si>
  <si>
    <t>NCC Price</t>
  </si>
  <si>
    <t>Mobalisation Year £</t>
  </si>
  <si>
    <t>Opening Year £ (Recurrent)</t>
  </si>
  <si>
    <t>Business Case Assumption (Year One - 6 Months)</t>
  </si>
  <si>
    <t>FYE Overhead Expectation (£4,144k)</t>
  </si>
  <si>
    <t>Residual Cost - Chel West</t>
  </si>
  <si>
    <t>Residual Cost - Hillingdon</t>
  </si>
  <si>
    <t>Residual Cost -Imperial</t>
  </si>
  <si>
    <t>Mobalisation Year (November 23)</t>
  </si>
  <si>
    <t>LNWH Validated 19/20 Prices adjusted for MFF Deflators and Price Growth</t>
  </si>
  <si>
    <t>Cost and income excluded from modelling as change of clinical pathway</t>
  </si>
  <si>
    <t>Projected payment index values</t>
  </si>
  <si>
    <t xml:space="preserve"> Provider code</t>
  </si>
  <si>
    <t xml:space="preserve">Provider name </t>
  </si>
  <si>
    <t>MFF payment index for 
2019/20</t>
  </si>
  <si>
    <t>Year 2 
2020/21</t>
  </si>
  <si>
    <t>Year 3 
2021/22</t>
  </si>
  <si>
    <t>RQM</t>
  </si>
  <si>
    <t>RYJ</t>
  </si>
  <si>
    <t>R1K</t>
  </si>
  <si>
    <t>RAS</t>
  </si>
  <si>
    <t>Adjusted Tariff Calculations</t>
  </si>
  <si>
    <t>19/20 Base Tariff for Validated Activity</t>
  </si>
  <si>
    <t>19/20 vs 23/24 MFF Deflator @ 3.88%</t>
  </si>
  <si>
    <t>Compound Price Inflator 4 Years @2.2% per year</t>
  </si>
  <si>
    <t>LNWH - EL</t>
  </si>
  <si>
    <t>LNWH - DC</t>
  </si>
  <si>
    <t>Full Year Activity</t>
  </si>
  <si>
    <t>Validated Activity @ 19/20 (Adjusted to Covid)</t>
  </si>
  <si>
    <t>28/29 Commissioned Activity 116.8% @ GLA Housing Growth</t>
  </si>
  <si>
    <t>29/30 Commissioned Activity 118.4% @ GLA Housing Growth</t>
  </si>
  <si>
    <t>C&amp;W - EL</t>
  </si>
  <si>
    <t>ICHT - EL</t>
  </si>
  <si>
    <t>Hillingdon - EL</t>
  </si>
  <si>
    <t>NWL PTL Support</t>
  </si>
  <si>
    <t>EOC (Accounting for Mobalisation)</t>
  </si>
  <si>
    <t>23/24 Commissioned Activity 109% @ 19/20 (Accounted for Mobalisation)</t>
  </si>
  <si>
    <t xml:space="preserve">Validated Tariff @ 19/20 Prices </t>
  </si>
  <si>
    <t>Year 1 - 23/24</t>
  </si>
  <si>
    <t>Year 2 - 24/25</t>
  </si>
  <si>
    <t>25/26</t>
  </si>
  <si>
    <t>26/27</t>
  </si>
  <si>
    <t>27/28</t>
  </si>
  <si>
    <t>Mobalisation Costs</t>
  </si>
  <si>
    <t>NCC Efficency Released</t>
  </si>
  <si>
    <t>One Year Marginal Relief (6 Months Home Trust Overheads)</t>
  </si>
  <si>
    <t>Cost of Training</t>
  </si>
  <si>
    <t>Service Line</t>
  </si>
  <si>
    <t>Expenditure Type</t>
  </si>
  <si>
    <t>Subjective</t>
  </si>
  <si>
    <t>Account Code</t>
  </si>
  <si>
    <t>Role</t>
  </si>
  <si>
    <t>Total NWL Year One Budget WTE</t>
  </si>
  <si>
    <t>Total NWL Year One Budget £'000</t>
  </si>
  <si>
    <t>Pre Operative Assessment</t>
  </si>
  <si>
    <t>Substantive Nursing Band 6</t>
  </si>
  <si>
    <t>Pre-Op Assessment Nurse</t>
  </si>
  <si>
    <t>Substantive Nursing Band 2</t>
  </si>
  <si>
    <t>Pre-Op Investigations HCA</t>
  </si>
  <si>
    <t>Substantive Nursing Band 7</t>
  </si>
  <si>
    <t>Orthopaedic Nurse Specialist</t>
  </si>
  <si>
    <t>Theatre Assessment Unit</t>
  </si>
  <si>
    <t>TAU Qualified Nurse</t>
  </si>
  <si>
    <t>Substantive Nursing Band 5</t>
  </si>
  <si>
    <t>TAU Unqualified Nurse</t>
  </si>
  <si>
    <t>Recovery</t>
  </si>
  <si>
    <t>Recovery Nurse</t>
  </si>
  <si>
    <t>Theatre Staffing</t>
  </si>
  <si>
    <t>ODA</t>
  </si>
  <si>
    <t>Scrub Nurse and Theatre Coordinator</t>
  </si>
  <si>
    <t>Theatre Support Worker</t>
  </si>
  <si>
    <t>Pharmacy</t>
  </si>
  <si>
    <t>Substantive Pharmacist Band 8a</t>
  </si>
  <si>
    <t xml:space="preserve">Pharmacist </t>
  </si>
  <si>
    <t>Enhanced Care Unit</t>
  </si>
  <si>
    <t>Intensivist</t>
  </si>
  <si>
    <t>SpR</t>
  </si>
  <si>
    <t>Critical Care SpR</t>
  </si>
  <si>
    <t>Critical Care Nurse Qualified</t>
  </si>
  <si>
    <t>Critical Care Nurse Unqualified</t>
  </si>
  <si>
    <t>Substantive Physiotherapist B7</t>
  </si>
  <si>
    <t>Physiotherapist</t>
  </si>
  <si>
    <t>Joint School</t>
  </si>
  <si>
    <t>Current Clinical WTE</t>
  </si>
  <si>
    <t>Additional Clinical WTE (IP Activity)</t>
  </si>
  <si>
    <t>WTE Including Admin (60%)</t>
  </si>
  <si>
    <t>WTE Including 22% Headroom</t>
  </si>
  <si>
    <t>Annual Substantive (M-F) £</t>
  </si>
  <si>
    <t>Pain Team</t>
  </si>
  <si>
    <t>Pain Nurse</t>
  </si>
  <si>
    <t>Rehab Technician (Band 4)</t>
  </si>
  <si>
    <t>Therapies</t>
  </si>
  <si>
    <t>Substantive Occ Therapist B7</t>
  </si>
  <si>
    <t>Occupational Therapist</t>
  </si>
  <si>
    <t xml:space="preserve">Occupational Therapist (Band 7) </t>
  </si>
  <si>
    <t>Substantive Occ Therapist B5</t>
  </si>
  <si>
    <t>Admin (Band 3)</t>
  </si>
  <si>
    <t>Substantive Physiotherapist B6</t>
  </si>
  <si>
    <t>Substantive Physiotherapist B5</t>
  </si>
  <si>
    <t>Substantive Physiotherapist B4</t>
  </si>
  <si>
    <t>Substantive Physiotherapist B8a</t>
  </si>
  <si>
    <t>Radiology</t>
  </si>
  <si>
    <t>Substantive Radiographer B7</t>
  </si>
  <si>
    <t>Radiographer</t>
  </si>
  <si>
    <t>Substantive Radiographer B6</t>
  </si>
  <si>
    <t>Radiologist</t>
  </si>
  <si>
    <t>Substantive A And C Band 5</t>
  </si>
  <si>
    <t>Radiology Admin</t>
  </si>
  <si>
    <t>Substantive A And C Band 3</t>
  </si>
  <si>
    <t>Medical and Medical Support Staffing</t>
  </si>
  <si>
    <t>SPR (Ward)</t>
  </si>
  <si>
    <t>Orthopaedic SpR</t>
  </si>
  <si>
    <t>SHO (Ward)</t>
  </si>
  <si>
    <t>Orthopaedic SHO</t>
  </si>
  <si>
    <t>Substantive Nursing Band 8a (Advance Nurse Practitioner)</t>
  </si>
  <si>
    <t>Surgical Advance Nurse Practitioner</t>
  </si>
  <si>
    <t>Substantive Physiotherapist B7 (Ward)</t>
  </si>
  <si>
    <t>Surgeon (Theatres Consultant)</t>
  </si>
  <si>
    <t>Orthopaedic Consultant</t>
  </si>
  <si>
    <t>SPR (Theatres)</t>
  </si>
  <si>
    <t>Anaesthetic SpR</t>
  </si>
  <si>
    <t>Anaesthetist (Theatres Consultant)</t>
  </si>
  <si>
    <t>Anaesthetist</t>
  </si>
  <si>
    <t xml:space="preserve">Inpatient Ward </t>
  </si>
  <si>
    <t>Unqualified Ward Nurse</t>
  </si>
  <si>
    <t>Substantive Nursing Band 3</t>
  </si>
  <si>
    <t>Substantive Nursing Band 4</t>
  </si>
  <si>
    <t>Qualified Ward Nurse</t>
  </si>
  <si>
    <t>Ward Manager</t>
  </si>
  <si>
    <t>Substantive Nursing Band 8a</t>
  </si>
  <si>
    <t>Matron</t>
  </si>
  <si>
    <t>Post Anaesthetic Care Unit</t>
  </si>
  <si>
    <t>PACU Nurse Qualified</t>
  </si>
  <si>
    <t>PACU Nurse Unqualified</t>
  </si>
  <si>
    <t>Day Care Ward</t>
  </si>
  <si>
    <t>Management and Admin</t>
  </si>
  <si>
    <t>Substantive Management Band 6</t>
  </si>
  <si>
    <t>Assistant Service Manager</t>
  </si>
  <si>
    <t>Schedulers</t>
  </si>
  <si>
    <t>Substantive A And C Band 4</t>
  </si>
  <si>
    <t xml:space="preserve">Ordering </t>
  </si>
  <si>
    <t>Substantive A and C Band 5</t>
  </si>
  <si>
    <t>Rota Coordinator</t>
  </si>
  <si>
    <t>Head of Nursing</t>
  </si>
  <si>
    <t xml:space="preserve">Matron - Inpatient Care </t>
  </si>
  <si>
    <t>Matron - POA</t>
  </si>
  <si>
    <t>Matron - Theatres</t>
  </si>
  <si>
    <t>Substantive Management Band 9</t>
  </si>
  <si>
    <t>Managing Director</t>
  </si>
  <si>
    <t>Medical Director</t>
  </si>
  <si>
    <t>Deputy Clinical Director</t>
  </si>
  <si>
    <t>Substantive Nursing Band 9</t>
  </si>
  <si>
    <t>Centre Head of Nursing</t>
  </si>
  <si>
    <t>Substantive AHP Band 9</t>
  </si>
  <si>
    <t>Centre Head of Therapies</t>
  </si>
  <si>
    <t>Substantive Management Band 8b</t>
  </si>
  <si>
    <t>Business/Operations and Performance Manager</t>
  </si>
  <si>
    <t>Substantive Management Band 7</t>
  </si>
  <si>
    <t>Head of Quality and Performance</t>
  </si>
  <si>
    <t>Matron - Inpatient Care</t>
  </si>
  <si>
    <t>Matron - Theatres (BCAD)</t>
  </si>
  <si>
    <t>Recurrent Establishment (24/25)</t>
  </si>
  <si>
    <t>Nov 24 Mobalisation Establishment (23/24)</t>
  </si>
  <si>
    <t>Total LNWH Year One Budget WTE</t>
  </si>
  <si>
    <t>LNWH Pre EOC Mobalisation (23/24)</t>
  </si>
  <si>
    <t>Total LNWH Year One Budget £'000 (7/12)</t>
  </si>
  <si>
    <t>Total NWL Year One Budget £'000 (5/12)</t>
  </si>
  <si>
    <t>Substantive Nursing Band 8d</t>
  </si>
  <si>
    <t>Anaesthetist (POA)</t>
  </si>
  <si>
    <t>LookUp</t>
  </si>
  <si>
    <t>Clinical Lead</t>
  </si>
  <si>
    <t>Substantive Management Band 8a</t>
  </si>
  <si>
    <t>Assistant General Manager</t>
  </si>
  <si>
    <t>Divisional General Manager</t>
  </si>
  <si>
    <t>Divisional Head of Nursing</t>
  </si>
  <si>
    <t>Activity %</t>
  </si>
  <si>
    <t>23/24 Average WTE</t>
  </si>
  <si>
    <t>23/24  Annual Cost £ '000</t>
  </si>
  <si>
    <t>24/25 Average WTE</t>
  </si>
  <si>
    <t>24/25  Annual Cost £ '000</t>
  </si>
  <si>
    <t>25/26 Average WTE</t>
  </si>
  <si>
    <t>25/26  Annual Cost £ '000</t>
  </si>
  <si>
    <t>26/27 Average WTE</t>
  </si>
  <si>
    <t>26/27  Annual Cost £ '000</t>
  </si>
  <si>
    <t>27/28 Average WTE</t>
  </si>
  <si>
    <t>27/28  Annual Cost £ '000</t>
  </si>
  <si>
    <t>Activity Growth and Price Inflation</t>
  </si>
  <si>
    <t>Activity Growth</t>
  </si>
  <si>
    <t>Price Inflation</t>
  </si>
  <si>
    <t>Row Labels</t>
  </si>
  <si>
    <t>Sum of 23/24 Average WTE</t>
  </si>
  <si>
    <t>Sum of 23/24  Annual Cost £ '000</t>
  </si>
  <si>
    <t>Sum of 24/25 Average WTE</t>
  </si>
  <si>
    <t>Sum of 24/25  Annual Cost £ '000</t>
  </si>
  <si>
    <t>Sum of 25/26 Average WTE</t>
  </si>
  <si>
    <t>Sum of 25/26  Annual Cost £ '000</t>
  </si>
  <si>
    <t>Sum of 26/27 Average WTE</t>
  </si>
  <si>
    <t>Sum of 26/27  Annual Cost £ '000</t>
  </si>
  <si>
    <t>Sum of 27/28 Average WTE</t>
  </si>
  <si>
    <t>Sum of 27/28  Annual Cost £ '000</t>
  </si>
  <si>
    <t>Transport - New Criteria (Most Likely)</t>
  </si>
  <si>
    <t>NHS - Pass Through (Prostesis)</t>
  </si>
  <si>
    <t>NHS - Pass Through (NEPT)</t>
  </si>
  <si>
    <t>Bank Premium</t>
  </si>
  <si>
    <t>23/24</t>
  </si>
  <si>
    <t>24/25</t>
  </si>
  <si>
    <t>28/29</t>
  </si>
  <si>
    <t>29/30</t>
  </si>
  <si>
    <t>30/31</t>
  </si>
  <si>
    <t>31/32</t>
  </si>
  <si>
    <t>32/33</t>
  </si>
  <si>
    <t>33/34</t>
  </si>
  <si>
    <t>34/35</t>
  </si>
  <si>
    <t>35/36</t>
  </si>
  <si>
    <t>36/37</t>
  </si>
  <si>
    <t>37/38</t>
  </si>
  <si>
    <t>38/39</t>
  </si>
  <si>
    <t>39/40</t>
  </si>
  <si>
    <t>40/41</t>
  </si>
  <si>
    <t>41/42</t>
  </si>
  <si>
    <t>42/43</t>
  </si>
  <si>
    <t>43/44</t>
  </si>
  <si>
    <t>44/45</t>
  </si>
  <si>
    <t>45/46</t>
  </si>
  <si>
    <t>46/47</t>
  </si>
  <si>
    <t>47/48</t>
  </si>
  <si>
    <t xml:space="preserve">C&amp;W Year Two (Full Year) £ </t>
  </si>
  <si>
    <t xml:space="preserve">Hillingdon Year Two (Full Year) £ </t>
  </si>
  <si>
    <t xml:space="preserve">Imperial Year Two (Full Year) £ </t>
  </si>
  <si>
    <t xml:space="preserve">LNWH Year Two (Full Year) £ </t>
  </si>
  <si>
    <t xml:space="preserve">Growth Capacity Year Two (Full Year) £ </t>
  </si>
  <si>
    <t xml:space="preserve">NWL Sector Total £ </t>
  </si>
  <si>
    <t xml:space="preserve">Income and Expenditure </t>
  </si>
  <si>
    <t xml:space="preserve">Total Clinical Income £ </t>
  </si>
  <si>
    <t xml:space="preserve">Total Cost £ </t>
  </si>
  <si>
    <t xml:space="preserve">NWL Current Profit/(Loss) </t>
  </si>
  <si>
    <t xml:space="preserve">NWL Current Loss Avoided </t>
  </si>
  <si>
    <t xml:space="preserve">Revenue Development Costs EOC </t>
  </si>
  <si>
    <t xml:space="preserve">(Investment)/Cost Reduction from EOC </t>
  </si>
  <si>
    <t xml:space="preserve">Activity In Scope </t>
  </si>
  <si>
    <t xml:space="preserve">Inpatients (ASA 2 and Below) </t>
  </si>
  <si>
    <t xml:space="preserve">Inpatients (ASA 3) </t>
  </si>
  <si>
    <t xml:space="preserve">Day Cases </t>
  </si>
  <si>
    <t>Consultant*</t>
  </si>
  <si>
    <t>Medical Other*</t>
  </si>
  <si>
    <t>14% (10% Bank 5% Agency)</t>
  </si>
  <si>
    <t>Excess Direct Cost @ £257 per Bed Day - £'000*</t>
  </si>
  <si>
    <t>* Based on LNWH direct SLR bed day cost</t>
  </si>
  <si>
    <t>Outer London (Inner London included on Salary Recharge Posts)</t>
  </si>
  <si>
    <t>1.7 cases per list (EL and DC)</t>
  </si>
  <si>
    <t>Current (NWL ICB Model Hospital)</t>
  </si>
  <si>
    <t>Current  (NWL ICB Model Hospital)</t>
  </si>
  <si>
    <t>Top Quartile (Worst MH Performer)</t>
  </si>
  <si>
    <t>2.3 (Average Top Quartile MH)</t>
  </si>
  <si>
    <t>Inner London (All Posts)</t>
  </si>
  <si>
    <t>Further 10% of Establishment Transfers to EOC</t>
  </si>
  <si>
    <t>20% Vacancy (5% Additional Agency)</t>
  </si>
  <si>
    <t>30% Vacancy (15% Additional Agency)</t>
  </si>
  <si>
    <t xml:space="preserve">Calculated taking the staff group in scope with the highest vacancy rate (Band 5 Nurses - 30%) as the worst case </t>
  </si>
  <si>
    <t>Based on TUPE guidance, assumed that a further 10% of establishment could be filled with employees attracting inner London weighting wishing to transfer to the EOC on protected T&amp;Cs. Consultants and Medical Other grades already modelled with Inner London Weighting costs due to salary recharge mechanism.</t>
  </si>
  <si>
    <t>* London weighting included in financial model as salary recharge arrangement agreed</t>
  </si>
  <si>
    <t>No Benefits Included</t>
  </si>
  <si>
    <t>Sensitivity Margin from New Activity</t>
  </si>
  <si>
    <t>Clinical Consumables and Drugs Efficiences (Supply Standardisation and Contract Consolidation)</t>
  </si>
  <si>
    <t>Year Two (FYE) £'000</t>
  </si>
  <si>
    <t>Standard Contract Efficiency</t>
  </si>
  <si>
    <t>Optimal Annual Efficiency</t>
  </si>
  <si>
    <t>Sensitivity Procurement Supply Standardisation</t>
  </si>
  <si>
    <t>Based on procurement efficiency expectations across clinical supplies and drugs expenditure (based on full year activity Year Two)</t>
  </si>
  <si>
    <t>Vacated Capacity Margin</t>
  </si>
  <si>
    <t>Local Valued Income for EOC Activities £'000</t>
  </si>
  <si>
    <t>% Margin Above Overheads</t>
  </si>
  <si>
    <t>Low Level Margin</t>
  </si>
  <si>
    <t>Moderate Margin</t>
  </si>
  <si>
    <t>Based on an expected margin from income that could be delivered over and above contribution to overheads from new activity delivered from vacated capacity (as a proportion of lost inform from EOC activity) Margin unlikely from NHS commissioned activity however savings from private patient or independent sector routes would attract a higher contribution.</t>
  </si>
  <si>
    <t>Sensitivity Temporary Staffing Avoided (Retained Staff @ Home Trusts)</t>
  </si>
  <si>
    <t xml:space="preserve">Home Trust Establishment (Weighted Based on LNWH NCC) </t>
  </si>
  <si>
    <t>5% Fill Home Trust Vacancies (Covered with Agency)</t>
  </si>
  <si>
    <t>10% Fill Home Trust Vacancies (Covered with Agency)</t>
  </si>
  <si>
    <t>15% Fill Home Trust Vacancies (Covered with Agency)</t>
  </si>
  <si>
    <t>20% Fill Home Trust Vacancies (Covered with Agency)</t>
  </si>
  <si>
    <t>Remaining posts will fill positions covered by Band or support the deliver of new activity</t>
  </si>
  <si>
    <t>Minimum Potential</t>
  </si>
  <si>
    <t>Home Trust Establishment</t>
  </si>
  <si>
    <t>Deployment of staff in core services such as theatres and also ward based nursing to fill existing service vacancies releasing temporary staffing premiums</t>
  </si>
  <si>
    <t>Stretch Opportunity</t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</si>
  <si>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 for completion</t>
    </r>
  </si>
  <si>
    <r>
      <rPr>
        <b/>
        <sz val="11"/>
        <color theme="1"/>
        <rFont val="Calibri"/>
        <family val="2"/>
        <scheme val="minor"/>
      </rPr>
      <t>Standing data</t>
    </r>
    <r>
      <rPr>
        <sz val="11"/>
        <color theme="1"/>
        <rFont val="Calibri"/>
        <family val="2"/>
        <scheme val="minor"/>
      </rPr>
      <t xml:space="preserve"> - input here name and descriptioon of options and these will feed through to subsequent tabs</t>
    </r>
  </si>
  <si>
    <r>
      <rPr>
        <b/>
        <sz val="11"/>
        <color theme="1"/>
        <rFont val="Calibri"/>
        <family val="2"/>
        <scheme val="minor"/>
      </rPr>
      <t>Summary</t>
    </r>
    <r>
      <rPr>
        <sz val="11"/>
        <color theme="1"/>
        <rFont val="Calibri"/>
        <family val="2"/>
        <scheme val="minor"/>
      </rPr>
      <t xml:space="preserve"> -  is an OUTPUT tab and provides the comparison of the  revenue, capital and DCFs for all options calculated on subsequent tabs.</t>
    </r>
  </si>
  <si>
    <r>
      <rPr>
        <b/>
        <sz val="11"/>
        <color theme="1"/>
        <rFont val="Calibri"/>
        <family val="2"/>
        <scheme val="minor"/>
      </rPr>
      <t>Revenue</t>
    </r>
    <r>
      <rPr>
        <sz val="11"/>
        <color theme="1"/>
        <rFont val="Calibri"/>
        <family val="2"/>
        <scheme val="minor"/>
      </rPr>
      <t xml:space="preserve"> - is an INPUT tab. The baseline revenue income and revenue expenditure for the service is input here.</t>
    </r>
  </si>
  <si>
    <r>
      <rPr>
        <b/>
        <sz val="11"/>
        <color theme="1"/>
        <rFont val="Calibri"/>
        <family val="2"/>
        <scheme val="minor"/>
      </rPr>
      <t>Capital</t>
    </r>
    <r>
      <rPr>
        <sz val="11"/>
        <color theme="1"/>
        <rFont val="Calibri"/>
        <family val="2"/>
        <scheme val="minor"/>
      </rPr>
      <t xml:space="preserve"> - is an INPUT tab. The capital investment requirement for each option is input here to calculate capital charges and provide capital</t>
    </r>
  </si>
  <si>
    <r>
      <t xml:space="preserve">The </t>
    </r>
    <r>
      <rPr>
        <b/>
        <sz val="11"/>
        <color theme="1"/>
        <rFont val="Calibri"/>
        <family val="2"/>
        <scheme val="minor"/>
      </rPr>
      <t>Economic (DCF)</t>
    </r>
    <r>
      <rPr>
        <sz val="11"/>
        <color theme="1"/>
        <rFont val="Calibri"/>
        <family val="2"/>
        <scheme val="minor"/>
      </rPr>
      <t xml:space="preserve"> tab provides output for the Summary tab.</t>
    </r>
  </si>
  <si>
    <r>
      <rPr>
        <b/>
        <sz val="11"/>
        <color theme="1"/>
        <rFont val="Calibri"/>
        <family val="2"/>
        <scheme val="minor"/>
      </rPr>
      <t>Assumptions and Os work</t>
    </r>
    <r>
      <rPr>
        <sz val="11"/>
        <color theme="1"/>
        <rFont val="Calibri"/>
        <family val="2"/>
        <scheme val="minor"/>
      </rPr>
      <t xml:space="preserve"> tab - lists the key assumptions underpinning the financial evaluation and any outstanding work.</t>
    </r>
  </si>
  <si>
    <t>Cost of capital = 10%</t>
  </si>
  <si>
    <t>Societal benefits</t>
  </si>
  <si>
    <t>fig societal benefits</t>
  </si>
  <si>
    <t>Societal Benefits </t>
  </si>
  <si>
    <t>Benefit description </t>
  </si>
  <si>
    <t>Calculation of benefit </t>
  </si>
  <si>
    <t>Assumptions made </t>
  </si>
  <si>
    <t>Total economic value (Year 1) </t>
  </si>
  <si>
    <t>Total economic value (Year 2) </t>
  </si>
  <si>
    <t>Total economic value (Year 3) </t>
  </si>
  <si>
    <t>Impact to a patient’s long term quality of life as a consequence of fewer readmissions </t>
  </si>
  <si>
    <r>
      <t>6 months faster recovery (X) The number of patient</t>
    </r>
    <r>
      <rPr>
        <u/>
        <sz val="10.5"/>
        <color rgb="FF498205"/>
        <rFont val="Calibri"/>
        <family val="2"/>
      </rPr>
      <t>s</t>
    </r>
    <r>
      <rPr>
        <sz val="10.5"/>
        <rFont val="Calibri"/>
        <family val="2"/>
      </rPr>
      <t xml:space="preserve"> impacted (X) Quality of Additional Life Years </t>
    </r>
  </si>
  <si>
    <t>QALY value - £19,802 </t>
  </si>
  <si>
    <t>£419,529 </t>
  </si>
  <si>
    <t>£1,066,961 </t>
  </si>
  <si>
    <t>£1,084,033 </t>
  </si>
  <si>
    <t>Improvement in readmission rate – 3% </t>
  </si>
  <si>
    <r>
      <t>6 month delay in recovery if needing readmission</t>
    </r>
    <r>
      <rPr>
        <sz val="10.5"/>
        <rFont val="Calibri"/>
        <family val="2"/>
      </rPr>
      <t> </t>
    </r>
  </si>
  <si>
    <t>Impact to a patients long term quality of life as a consequence of faster access to treatment </t>
  </si>
  <si>
    <r>
      <t>Predicted fall in Waiting Times (3 - 5 Weeks) (X) The number of patient</t>
    </r>
    <r>
      <rPr>
        <u/>
        <sz val="10.5"/>
        <color rgb="FF498205"/>
        <rFont val="Calibri"/>
        <family val="2"/>
      </rPr>
      <t>s</t>
    </r>
    <r>
      <rPr>
        <sz val="10.5"/>
        <rFont val="Calibri"/>
        <family val="2"/>
      </rPr>
      <t xml:space="preserve"> impacted (X) Quality of Additional Life Years </t>
    </r>
  </si>
  <si>
    <t>£2,603,118 </t>
  </si>
  <si>
    <t>£6,620,342 </t>
  </si>
  <si>
    <t>£6,726,267 </t>
  </si>
  <si>
    <t>Reduced waiting list – 3 weeks </t>
  </si>
  <si>
    <t>Reduction in patient sick days from employment as a consequence of faster access to treatment </t>
  </si>
  <si>
    <t>Predicted fall in Waiting Times (3 - 5 Weeks) (X) Employment Rate (NWL Specific Employment Rate) The number of patient impacted (X) Average Salary in NWL (X) MSK Reason - Not Working (X) Proportion of ASA 1 &amp; 2 patients who are aged 16 to 65 </t>
  </si>
  <si>
    <t>£2,562 </t>
  </si>
  <si>
    <t>£6,516 </t>
  </si>
  <si>
    <t>£6,620 </t>
  </si>
  <si>
    <t>NWL Employment Rate – 57.56% </t>
  </si>
  <si>
    <t>Average NWL Salary - £26,113 </t>
  </si>
  <si>
    <t>ASA 1&amp;2 patients – 69.1% </t>
  </si>
  <si>
    <t>% Sickness (London) – 1.40% </t>
  </si>
  <si>
    <t>% Sickness for MSK – 13.40% </t>
  </si>
  <si>
    <t>Reduction in patients who need unemployment support and can return to economic activity as a consequence of faster access to treatment </t>
  </si>
  <si>
    <t>Predicted fall in Waiting Times (3 - 5 Weeks) (X) NWL Employment Rate (X) Average Salary in NWL (+) Universal Credit (X) MSK Reason - Not Working (X) Proportion of ASA 1 &amp; 2 patients who are aged 16 to 65 </t>
  </si>
  <si>
    <t>£66,509 </t>
  </si>
  <si>
    <t>£169,150 </t>
  </si>
  <si>
    <t>£171,856 </t>
  </si>
  <si>
    <t>NWL Economic Inactivity – 21.1% </t>
  </si>
  <si>
    <t>Inactivity due to ill health – 28.4% </t>
  </si>
  <si>
    <t>MSK the cause of ill health – 40.6% </t>
  </si>
  <si>
    <t>Universal Credit - £4,018 </t>
  </si>
  <si>
    <t>Economic impact on local spending </t>
  </si>
  <si>
    <t>Average price of a hot beverage (X) Number of Patients + 1 Visitor </t>
  </si>
  <si>
    <t>Average price of a major coffee supplier - £3.69 </t>
  </si>
  <si>
    <t>£16,816 </t>
  </si>
  <si>
    <t>£42,767 </t>
  </si>
  <si>
    <t>£43,451 </t>
  </si>
  <si>
    <t>Increased cost of carbon emissions for increased travel to care </t>
  </si>
  <si>
    <t>% Patients that use a car (X) Average miles travel increase to EOC (X) Average Car Carbon Emission (X) Carbon Cost per Ton (X) ULEZ impact </t>
  </si>
  <si>
    <t>Patients that use a car to travel to hospital – 77% </t>
  </si>
  <si>
    <t>£ (83.17) </t>
  </si>
  <si>
    <t>£ (211.52) </t>
  </si>
  <si>
    <t>£ (214.90) </t>
  </si>
  <si>
    <t>Average additional miles – 3.53 </t>
  </si>
  <si>
    <t>Average car carbon emissions – 404g of CO2 per mile </t>
  </si>
  <si>
    <t>Carbon cost per tonne - £83.03 </t>
  </si>
  <si>
    <t>Reduction in emissions due to ULEZ – 5% </t>
  </si>
  <si>
    <r>
      <t>Total</t>
    </r>
    <r>
      <rPr>
        <sz val="10.5"/>
        <rFont val="Calibri"/>
        <family val="2"/>
      </rPr>
      <t> </t>
    </r>
  </si>
  <si>
    <t>£3,108,452 </t>
  </si>
  <si>
    <t>£7,905,525 </t>
  </si>
  <si>
    <t>£8,032,013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</si>
</sst>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&quot;£&quot;#,##0;[Red]\-&quot;£&quot;#,##0"/>
    <numFmt numFmtId="165" formatCode="_-&quot;£&quot;* #,##0_-;\-&quot;£&quot;* #,##0_-;_-&quot;£&quot;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#,##0;\(#,##0\)"/>
    <numFmt numFmtId="169" formatCode="_-* #,##0_-;\-* #,##0_-;_-* &quot;-&quot;??_-;_-@_-"/>
    <numFmt numFmtId="170" formatCode="#,##0.000"/>
    <numFmt numFmtId="171" formatCode="&quot;£&quot;#,##0"/>
    <numFmt numFmtId="172" formatCode="#,##0.0"/>
    <numFmt numFmtId="173" formatCode="#,##0_ ;\-#,##0\ "/>
    <numFmt numFmtId="174" formatCode="0.000000"/>
    <numFmt numFmtId="175" formatCode="0.000"/>
    <numFmt numFmtId="176" formatCode="0.0%"/>
    <numFmt numFmtId="177" formatCode="&quot;Yr&quot;\ #0\ "/>
    <numFmt numFmtId="178" formatCode="#,##0.0_);\(#,##0.0\)"/>
    <numFmt numFmtId="179" formatCode="0.00%;\(0.00%\)"/>
    <numFmt numFmtId="180" formatCode="0;\-0;;@\ "/>
    <numFmt numFmtId="181" formatCode="#,##0.00_ ;[Red]\-#,##0.00\ "/>
  </numFmts>
  <fonts count="5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sz val="10"/>
      <name val="Arial"/>
      <family val="2"/>
    </font>
    <font>
      <sz val="10"/>
      <name val="Arial "/>
    </font>
    <font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Palatino Linotype"/>
      <family val="1"/>
    </font>
    <font>
      <b/>
      <sz val="8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2"/>
      <color theme="10"/>
      <name val="Arial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Arial"/>
      <family val="2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color rgb="FF0070C0"/>
      <name val="Calibri"/>
      <family val="2"/>
      <scheme val="minor"/>
    </font>
    <font>
      <sz val="10.5"/>
      <name val="Calibri"/>
      <family val="2"/>
    </font>
    <font>
      <b/>
      <sz val="10.5"/>
      <color rgb="FFFFFFFF"/>
      <name val="Calibri"/>
      <family val="2"/>
    </font>
    <font>
      <b/>
      <sz val="10.5"/>
      <name val="Calibri"/>
      <family val="2"/>
    </font>
    <font>
      <u/>
      <sz val="10.5"/>
      <color rgb="FF498205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4472C4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DashDot">
        <color indexed="64"/>
      </left>
      <right/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43">
    <xf numFmtId="0" fontId="0" fillId="0" borderId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6" fillId="0" borderId="0" applyFont="0" applyFill="0" applyBorder="0" applyAlignment="0" applyProtection="0"/>
    <xf numFmtId="178" fontId="14" fillId="0" borderId="0" applyNumberFormat="0" applyFont="0" applyAlignment="0" applyProtection="0"/>
    <xf numFmtId="167" fontId="32" fillId="0" borderId="0" applyFont="0" applyFill="0" applyBorder="0" applyAlignment="0" applyProtection="0"/>
    <xf numFmtId="171" fontId="30" fillId="11" borderId="7" applyFont="0" applyBorder="0"/>
    <xf numFmtId="179" fontId="33" fillId="17" borderId="1" applyNumberFormat="0" applyFont="0" applyAlignment="0"/>
    <xf numFmtId="38" fontId="34" fillId="0" borderId="0"/>
    <xf numFmtId="38" fontId="35" fillId="0" borderId="0"/>
    <xf numFmtId="38" fontId="36" fillId="0" borderId="0"/>
    <xf numFmtId="38" fontId="37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1" fontId="30" fillId="11" borderId="7" applyFill="0" applyBorder="0"/>
    <xf numFmtId="178" fontId="14" fillId="0" borderId="24" applyNumberFormat="0" applyFont="0" applyFill="0" applyAlignment="0"/>
    <xf numFmtId="0" fontId="39" fillId="0" borderId="0" applyNumberFormat="0" applyFill="0" applyBorder="0" applyAlignment="0" applyProtection="0"/>
    <xf numFmtId="167" fontId="6" fillId="0" borderId="0" applyFont="0" applyFill="0" applyBorder="0" applyAlignment="0" applyProtection="0"/>
  </cellStyleXfs>
  <cellXfs count="547">
    <xf numFmtId="0" fontId="0" fillId="0" borderId="0" xfId="0"/>
    <xf numFmtId="0" fontId="1" fillId="0" borderId="0" xfId="0" applyFont="1"/>
    <xf numFmtId="3" fontId="3" fillId="0" borderId="1" xfId="0" applyNumberFormat="1" applyFont="1" applyBorder="1" applyAlignment="1">
      <alignment horizontal="center"/>
    </xf>
    <xf numFmtId="3" fontId="3" fillId="2" borderId="2" xfId="0" applyNumberFormat="1" applyFont="1" applyFill="1" applyBorder="1"/>
    <xf numFmtId="3" fontId="3" fillId="0" borderId="2" xfId="0" applyNumberFormat="1" applyFont="1" applyBorder="1"/>
    <xf numFmtId="3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horizontal="right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3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/>
    <xf numFmtId="168" fontId="3" fillId="0" borderId="5" xfId="0" applyNumberFormat="1" applyFont="1" applyBorder="1"/>
    <xf numFmtId="3" fontId="3" fillId="0" borderId="0" xfId="0" applyNumberFormat="1" applyFont="1"/>
    <xf numFmtId="2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/>
    <xf numFmtId="3" fontId="1" fillId="3" borderId="0" xfId="0" applyNumberFormat="1" applyFont="1" applyFill="1"/>
    <xf numFmtId="3" fontId="3" fillId="3" borderId="2" xfId="0" applyNumberFormat="1" applyFont="1" applyFill="1" applyBorder="1"/>
    <xf numFmtId="0" fontId="1" fillId="0" borderId="0" xfId="0" applyFont="1" applyAlignment="1">
      <alignment horizontal="center"/>
    </xf>
    <xf numFmtId="0" fontId="5" fillId="0" borderId="0" xfId="0" applyFont="1"/>
    <xf numFmtId="2" fontId="3" fillId="4" borderId="4" xfId="0" applyNumberFormat="1" applyFont="1" applyFill="1" applyBorder="1" applyAlignment="1">
      <alignment horizontal="right" vertical="top" wrapText="1"/>
    </xf>
    <xf numFmtId="2" fontId="3" fillId="4" borderId="3" xfId="0" quotePrefix="1" applyNumberFormat="1" applyFont="1" applyFill="1" applyBorder="1" applyAlignment="1">
      <alignment horizontal="right" vertical="top" wrapText="1"/>
    </xf>
    <xf numFmtId="2" fontId="3" fillId="4" borderId="4" xfId="0" applyNumberFormat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right"/>
    </xf>
    <xf numFmtId="2" fontId="3" fillId="4" borderId="8" xfId="0" quotePrefix="1" applyNumberFormat="1" applyFont="1" applyFill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/>
    </xf>
    <xf numFmtId="0" fontId="7" fillId="2" borderId="0" xfId="0" applyFont="1" applyFill="1" applyAlignment="1">
      <alignment horizontal="center"/>
    </xf>
    <xf numFmtId="3" fontId="1" fillId="5" borderId="1" xfId="0" applyNumberFormat="1" applyFont="1" applyFill="1" applyBorder="1"/>
    <xf numFmtId="0" fontId="1" fillId="2" borderId="0" xfId="0" applyFont="1" applyFill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2" borderId="1" xfId="0" applyFill="1" applyBorder="1"/>
    <xf numFmtId="169" fontId="3" fillId="0" borderId="0" xfId="1" applyNumberFormat="1" applyFont="1" applyAlignment="1">
      <alignment wrapText="1"/>
    </xf>
    <xf numFmtId="169" fontId="3" fillId="0" borderId="0" xfId="1" applyNumberFormat="1" applyFont="1" applyAlignment="1">
      <alignment horizontal="right" wrapText="1"/>
    </xf>
    <xf numFmtId="169" fontId="3" fillId="4" borderId="2" xfId="1" applyNumberFormat="1" applyFont="1" applyFill="1" applyBorder="1" applyAlignment="1">
      <alignment horizontal="center" vertical="top" wrapText="1"/>
    </xf>
    <xf numFmtId="169" fontId="3" fillId="0" borderId="0" xfId="1" applyNumberFormat="1" applyFont="1" applyBorder="1" applyAlignment="1">
      <alignment horizontal="left" vertical="top" wrapText="1"/>
    </xf>
    <xf numFmtId="169" fontId="1" fillId="0" borderId="0" xfId="1" applyNumberFormat="1" applyFont="1" applyAlignment="1">
      <alignment horizontal="center"/>
    </xf>
    <xf numFmtId="169" fontId="1" fillId="0" borderId="0" xfId="1" applyNumberFormat="1" applyFont="1"/>
    <xf numFmtId="2" fontId="3" fillId="4" borderId="2" xfId="0" applyNumberFormat="1" applyFont="1" applyFill="1" applyBorder="1" applyAlignment="1">
      <alignment horizontal="right" vertical="top" wrapText="1"/>
    </xf>
    <xf numFmtId="2" fontId="3" fillId="4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0" fillId="0" borderId="5" xfId="0" applyBorder="1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1" xfId="0" applyNumberFormat="1" applyFont="1" applyBorder="1"/>
    <xf numFmtId="3" fontId="2" fillId="5" borderId="1" xfId="0" applyNumberFormat="1" applyFont="1" applyFill="1" applyBorder="1"/>
    <xf numFmtId="3" fontId="2" fillId="5" borderId="9" xfId="0" applyNumberFormat="1" applyFont="1" applyFill="1" applyBorder="1"/>
    <xf numFmtId="2" fontId="7" fillId="4" borderId="4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center"/>
    </xf>
    <xf numFmtId="168" fontId="7" fillId="0" borderId="1" xfId="0" applyNumberFormat="1" applyFont="1" applyBorder="1"/>
    <xf numFmtId="0" fontId="8" fillId="0" borderId="0" xfId="0" applyFont="1"/>
    <xf numFmtId="0" fontId="9" fillId="0" borderId="0" xfId="0" applyFont="1"/>
    <xf numFmtId="0" fontId="1" fillId="0" borderId="1" xfId="0" applyFont="1" applyBorder="1" applyAlignment="1">
      <alignment wrapText="1"/>
    </xf>
    <xf numFmtId="3" fontId="7" fillId="0" borderId="1" xfId="0" applyNumberFormat="1" applyFont="1" applyBorder="1"/>
    <xf numFmtId="3" fontId="7" fillId="0" borderId="0" xfId="0" applyNumberFormat="1" applyFont="1"/>
    <xf numFmtId="3" fontId="7" fillId="0" borderId="4" xfId="0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3" fontId="1" fillId="0" borderId="0" xfId="0" applyNumberFormat="1" applyFont="1"/>
    <xf numFmtId="0" fontId="8" fillId="0" borderId="9" xfId="0" applyFont="1" applyBorder="1"/>
    <xf numFmtId="0" fontId="9" fillId="2" borderId="0" xfId="0" applyFont="1" applyFill="1"/>
    <xf numFmtId="0" fontId="9" fillId="5" borderId="0" xfId="0" applyFont="1" applyFill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0" borderId="0" xfId="0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/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1" xfId="0" applyFont="1" applyBorder="1"/>
    <xf numFmtId="0" fontId="0" fillId="0" borderId="9" xfId="0" applyBorder="1" applyAlignment="1">
      <alignment vertical="center"/>
    </xf>
    <xf numFmtId="3" fontId="3" fillId="0" borderId="1" xfId="0" applyNumberFormat="1" applyFont="1" applyBorder="1"/>
    <xf numFmtId="0" fontId="0" fillId="0" borderId="1" xfId="0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3" fontId="0" fillId="7" borderId="1" xfId="0" quotePrefix="1" applyNumberFormat="1" applyFill="1" applyBorder="1" applyAlignment="1">
      <alignment horizontal="right" vertical="center"/>
    </xf>
    <xf numFmtId="3" fontId="0" fillId="7" borderId="9" xfId="0" quotePrefix="1" applyNumberFormat="1" applyFill="1" applyBorder="1" applyAlignment="1">
      <alignment horizontal="right" vertical="center"/>
    </xf>
    <xf numFmtId="3" fontId="0" fillId="0" borderId="0" xfId="1" applyNumberFormat="1" applyFont="1" applyBorder="1"/>
    <xf numFmtId="14" fontId="0" fillId="2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 wrapText="1"/>
    </xf>
    <xf numFmtId="14" fontId="8" fillId="0" borderId="0" xfId="0" applyNumberFormat="1" applyFont="1" applyAlignment="1">
      <alignment horizontal="left"/>
    </xf>
    <xf numFmtId="3" fontId="7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9" fontId="0" fillId="0" borderId="1" xfId="1" applyNumberFormat="1" applyFont="1" applyBorder="1" applyAlignment="1">
      <alignment horizontal="right" vertical="center"/>
    </xf>
    <xf numFmtId="0" fontId="1" fillId="0" borderId="6" xfId="0" applyFont="1" applyBorder="1"/>
    <xf numFmtId="3" fontId="3" fillId="2" borderId="7" xfId="0" applyNumberFormat="1" applyFont="1" applyFill="1" applyBorder="1"/>
    <xf numFmtId="3" fontId="3" fillId="2" borderId="5" xfId="0" applyNumberFormat="1" applyFont="1" applyFill="1" applyBorder="1"/>
    <xf numFmtId="3" fontId="3" fillId="6" borderId="5" xfId="0" applyNumberFormat="1" applyFont="1" applyFill="1" applyBorder="1"/>
    <xf numFmtId="172" fontId="3" fillId="2" borderId="19" xfId="0" applyNumberFormat="1" applyFont="1" applyFill="1" applyBorder="1"/>
    <xf numFmtId="168" fontId="3" fillId="2" borderId="19" xfId="0" applyNumberFormat="1" applyFont="1" applyFill="1" applyBorder="1" applyAlignment="1">
      <alignment horizontal="right"/>
    </xf>
    <xf numFmtId="172" fontId="3" fillId="2" borderId="19" xfId="0" applyNumberFormat="1" applyFont="1" applyFill="1" applyBorder="1" applyAlignment="1">
      <alignment horizontal="right"/>
    </xf>
    <xf numFmtId="3" fontId="3" fillId="6" borderId="19" xfId="0" applyNumberFormat="1" applyFont="1" applyFill="1" applyBorder="1"/>
    <xf numFmtId="2" fontId="3" fillId="0" borderId="20" xfId="0" applyNumberFormat="1" applyFont="1" applyBorder="1" applyAlignment="1">
      <alignment horizontal="right"/>
    </xf>
    <xf numFmtId="3" fontId="3" fillId="2" borderId="7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168" fontId="3" fillId="2" borderId="8" xfId="0" applyNumberFormat="1" applyFont="1" applyFill="1" applyBorder="1"/>
    <xf numFmtId="2" fontId="3" fillId="0" borderId="19" xfId="0" applyNumberFormat="1" applyFont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4" fillId="2" borderId="19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68" fontId="3" fillId="0" borderId="19" xfId="0" applyNumberFormat="1" applyFont="1" applyBorder="1" applyAlignment="1">
      <alignment horizontal="right"/>
    </xf>
    <xf numFmtId="172" fontId="3" fillId="0" borderId="19" xfId="0" applyNumberFormat="1" applyFont="1" applyBorder="1" applyAlignment="1">
      <alignment horizontal="right"/>
    </xf>
    <xf numFmtId="167" fontId="3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69" fontId="0" fillId="0" borderId="0" xfId="1" applyNumberFormat="1" applyFont="1"/>
    <xf numFmtId="169" fontId="3" fillId="2" borderId="19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3" fontId="0" fillId="0" borderId="0" xfId="0" quotePrefix="1" applyNumberFormat="1" applyAlignment="1">
      <alignment horizontal="right" vertical="center"/>
    </xf>
    <xf numFmtId="0" fontId="0" fillId="0" borderId="1" xfId="0" applyBorder="1" applyAlignment="1">
      <alignment vertical="top" wrapText="1"/>
    </xf>
    <xf numFmtId="167" fontId="3" fillId="2" borderId="5" xfId="1" applyFont="1" applyFill="1" applyBorder="1" applyAlignment="1">
      <alignment horizontal="center"/>
    </xf>
    <xf numFmtId="168" fontId="12" fillId="0" borderId="1" xfId="1" applyNumberFormat="1" applyFont="1" applyBorder="1" applyAlignment="1">
      <alignment vertical="center"/>
    </xf>
    <xf numFmtId="168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169" fontId="0" fillId="0" borderId="0" xfId="1" applyNumberFormat="1" applyFont="1" applyFill="1" applyBorder="1" applyAlignment="1">
      <alignment vertical="center"/>
    </xf>
    <xf numFmtId="0" fontId="10" fillId="8" borderId="4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 wrapText="1"/>
    </xf>
    <xf numFmtId="0" fontId="10" fillId="8" borderId="3" xfId="0" quotePrefix="1" applyFont="1" applyFill="1" applyBorder="1" applyAlignment="1">
      <alignment horizontal="center"/>
    </xf>
    <xf numFmtId="0" fontId="10" fillId="8" borderId="4" xfId="0" applyFont="1" applyFill="1" applyBorder="1" applyAlignment="1">
      <alignment vertical="top"/>
    </xf>
    <xf numFmtId="0" fontId="10" fillId="8" borderId="4" xfId="0" applyFont="1" applyFill="1" applyBorder="1" applyAlignment="1">
      <alignment vertical="top" wrapText="1"/>
    </xf>
    <xf numFmtId="0" fontId="10" fillId="8" borderId="3" xfId="0" applyFont="1" applyFill="1" applyBorder="1" applyAlignment="1">
      <alignment vertical="top"/>
    </xf>
    <xf numFmtId="0" fontId="10" fillId="8" borderId="3" xfId="0" applyFont="1" applyFill="1" applyBorder="1" applyAlignment="1">
      <alignment vertical="top" wrapText="1"/>
    </xf>
    <xf numFmtId="0" fontId="10" fillId="8" borderId="7" xfId="0" applyFont="1" applyFill="1" applyBorder="1" applyAlignment="1">
      <alignment vertical="top"/>
    </xf>
    <xf numFmtId="0" fontId="10" fillId="8" borderId="8" xfId="0" applyFont="1" applyFill="1" applyBorder="1" applyAlignment="1">
      <alignment vertical="top"/>
    </xf>
    <xf numFmtId="0" fontId="10" fillId="8" borderId="7" xfId="0" applyFont="1" applyFill="1" applyBorder="1" applyAlignment="1">
      <alignment vertical="top" wrapText="1"/>
    </xf>
    <xf numFmtId="0" fontId="0" fillId="0" borderId="9" xfId="0" applyBorder="1" applyAlignment="1">
      <alignment horizontal="left" vertical="center" wrapText="1"/>
    </xf>
    <xf numFmtId="168" fontId="0" fillId="0" borderId="1" xfId="0" applyNumberForma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8" borderId="3" xfId="0" applyFont="1" applyFill="1" applyBorder="1"/>
    <xf numFmtId="0" fontId="10" fillId="8" borderId="3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" fillId="9" borderId="0" xfId="0" applyFont="1" applyFill="1"/>
    <xf numFmtId="0" fontId="0" fillId="9" borderId="0" xfId="0" applyFill="1"/>
    <xf numFmtId="0" fontId="1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1" fillId="9" borderId="0" xfId="0" applyFont="1" applyFill="1" applyAlignment="1">
      <alignment horizontal="center" vertical="center" wrapText="1"/>
    </xf>
    <xf numFmtId="0" fontId="2" fillId="9" borderId="0" xfId="0" applyFont="1" applyFill="1"/>
    <xf numFmtId="3" fontId="1" fillId="9" borderId="0" xfId="0" applyNumberFormat="1" applyFont="1" applyFill="1"/>
    <xf numFmtId="0" fontId="2" fillId="9" borderId="0" xfId="0" applyFont="1" applyFill="1" applyAlignment="1">
      <alignment horizontal="center" vertical="center" wrapText="1"/>
    </xf>
    <xf numFmtId="0" fontId="1" fillId="9" borderId="24" xfId="0" applyFont="1" applyFill="1" applyBorder="1"/>
    <xf numFmtId="0" fontId="1" fillId="9" borderId="29" xfId="0" applyFont="1" applyFill="1" applyBorder="1"/>
    <xf numFmtId="0" fontId="2" fillId="9" borderId="29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right"/>
    </xf>
    <xf numFmtId="175" fontId="1" fillId="9" borderId="0" xfId="0" applyNumberFormat="1" applyFont="1" applyFill="1" applyAlignment="1">
      <alignment horizontal="right"/>
    </xf>
    <xf numFmtId="0" fontId="1" fillId="9" borderId="29" xfId="0" applyFont="1" applyFill="1" applyBorder="1" applyAlignment="1">
      <alignment horizontal="center"/>
    </xf>
    <xf numFmtId="175" fontId="1" fillId="9" borderId="29" xfId="0" applyNumberFormat="1" applyFont="1" applyFill="1" applyBorder="1" applyAlignment="1">
      <alignment horizontal="right"/>
    </xf>
    <xf numFmtId="0" fontId="1" fillId="9" borderId="0" xfId="0" applyFont="1" applyFill="1" applyAlignment="1">
      <alignment horizontal="center" wrapText="1"/>
    </xf>
    <xf numFmtId="0" fontId="1" fillId="9" borderId="0" xfId="0" applyFont="1" applyFill="1" applyAlignment="1">
      <alignment wrapText="1"/>
    </xf>
    <xf numFmtId="0" fontId="2" fillId="9" borderId="0" xfId="0" applyFont="1" applyFill="1" applyAlignment="1">
      <alignment wrapText="1"/>
    </xf>
    <xf numFmtId="166" fontId="1" fillId="9" borderId="0" xfId="0" applyNumberFormat="1" applyFont="1" applyFill="1" applyAlignment="1">
      <alignment horizontal="center"/>
    </xf>
    <xf numFmtId="166" fontId="1" fillId="9" borderId="0" xfId="2" applyFont="1" applyFill="1" applyAlignment="1">
      <alignment horizontal="center"/>
    </xf>
    <xf numFmtId="166" fontId="1" fillId="9" borderId="0" xfId="0" applyNumberFormat="1" applyFont="1" applyFill="1"/>
    <xf numFmtId="166" fontId="1" fillId="9" borderId="0" xfId="2" applyFont="1" applyFill="1"/>
    <xf numFmtId="0" fontId="17" fillId="9" borderId="0" xfId="0" applyFont="1" applyFill="1" applyAlignment="1">
      <alignment horizontal="center" vertical="center" wrapText="1"/>
    </xf>
    <xf numFmtId="3" fontId="0" fillId="9" borderId="0" xfId="0" applyNumberFormat="1" applyFill="1"/>
    <xf numFmtId="0" fontId="18" fillId="9" borderId="0" xfId="0" applyFont="1" applyFill="1"/>
    <xf numFmtId="0" fontId="17" fillId="9" borderId="0" xfId="0" applyFont="1" applyFill="1"/>
    <xf numFmtId="2" fontId="3" fillId="0" borderId="18" xfId="0" applyNumberFormat="1" applyFont="1" applyBorder="1" applyAlignment="1">
      <alignment horizontal="center" wrapText="1"/>
    </xf>
    <xf numFmtId="173" fontId="0" fillId="0" borderId="1" xfId="0" applyNumberFormat="1" applyBorder="1" applyAlignment="1">
      <alignment horizontal="center" vertical="center" wrapText="1"/>
    </xf>
    <xf numFmtId="0" fontId="18" fillId="9" borderId="36" xfId="0" applyFont="1" applyFill="1" applyBorder="1"/>
    <xf numFmtId="0" fontId="18" fillId="9" borderId="38" xfId="0" applyFont="1" applyFill="1" applyBorder="1"/>
    <xf numFmtId="0" fontId="18" fillId="9" borderId="40" xfId="0" applyFont="1" applyFill="1" applyBorder="1"/>
    <xf numFmtId="14" fontId="0" fillId="0" borderId="0" xfId="0" applyNumberFormat="1" applyAlignment="1">
      <alignment horizontal="left"/>
    </xf>
    <xf numFmtId="0" fontId="19" fillId="0" borderId="0" xfId="0" applyFont="1"/>
    <xf numFmtId="9" fontId="1" fillId="9" borderId="0" xfId="3" applyFont="1" applyFill="1"/>
    <xf numFmtId="166" fontId="1" fillId="9" borderId="0" xfId="0" applyNumberFormat="1" applyFont="1" applyFill="1" applyAlignment="1">
      <alignment wrapText="1"/>
    </xf>
    <xf numFmtId="0" fontId="10" fillId="9" borderId="0" xfId="0" applyFont="1" applyFill="1"/>
    <xf numFmtId="0" fontId="20" fillId="9" borderId="0" xfId="0" applyFont="1" applyFill="1" applyAlignment="1">
      <alignment horizontal="center" vertical="center" wrapText="1"/>
    </xf>
    <xf numFmtId="3" fontId="22" fillId="9" borderId="0" xfId="0" applyNumberFormat="1" applyFont="1" applyFill="1"/>
    <xf numFmtId="3" fontId="20" fillId="9" borderId="0" xfId="0" applyNumberFormat="1" applyFont="1" applyFill="1"/>
    <xf numFmtId="0" fontId="20" fillId="9" borderId="0" xfId="0" applyFont="1" applyFill="1"/>
    <xf numFmtId="0" fontId="23" fillId="9" borderId="0" xfId="0" applyFont="1" applyFill="1"/>
    <xf numFmtId="0" fontId="24" fillId="9" borderId="0" xfId="0" applyFont="1" applyFill="1"/>
    <xf numFmtId="0" fontId="22" fillId="0" borderId="43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38" xfId="0" applyFont="1" applyBorder="1" applyAlignment="1">
      <alignment vertical="center"/>
    </xf>
    <xf numFmtId="169" fontId="22" fillId="0" borderId="0" xfId="1" applyNumberFormat="1" applyFont="1" applyBorder="1" applyAlignment="1">
      <alignment vertical="center"/>
    </xf>
    <xf numFmtId="9" fontId="22" fillId="0" borderId="0" xfId="3" applyFont="1" applyBorder="1" applyAlignment="1">
      <alignment horizontal="center" vertical="center"/>
    </xf>
    <xf numFmtId="167" fontId="22" fillId="0" borderId="0" xfId="1" applyFont="1" applyBorder="1" applyAlignment="1">
      <alignment horizontal="center" vertical="center"/>
    </xf>
    <xf numFmtId="167" fontId="22" fillId="0" borderId="39" xfId="1" applyFont="1" applyBorder="1" applyAlignment="1">
      <alignment horizontal="center" vertical="center"/>
    </xf>
    <xf numFmtId="0" fontId="22" fillId="0" borderId="43" xfId="0" applyFont="1" applyBorder="1" applyAlignment="1">
      <alignment vertical="center"/>
    </xf>
    <xf numFmtId="169" fontId="22" fillId="0" borderId="29" xfId="1" applyNumberFormat="1" applyFont="1" applyBorder="1" applyAlignment="1">
      <alignment vertical="center"/>
    </xf>
    <xf numFmtId="167" fontId="22" fillId="0" borderId="29" xfId="1" applyFont="1" applyBorder="1" applyAlignment="1">
      <alignment horizontal="center" vertical="center"/>
    </xf>
    <xf numFmtId="9" fontId="22" fillId="0" borderId="29" xfId="3" applyFont="1" applyBorder="1" applyAlignment="1">
      <alignment horizontal="center" vertical="center"/>
    </xf>
    <xf numFmtId="167" fontId="22" fillId="0" borderId="42" xfId="1" applyFont="1" applyBorder="1" applyAlignment="1">
      <alignment horizontal="center" vertical="center"/>
    </xf>
    <xf numFmtId="176" fontId="22" fillId="0" borderId="0" xfId="3" applyNumberFormat="1" applyFont="1" applyBorder="1" applyAlignment="1">
      <alignment horizontal="center" vertical="center"/>
    </xf>
    <xf numFmtId="0" fontId="22" fillId="0" borderId="38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9" fontId="22" fillId="0" borderId="0" xfId="0" applyNumberFormat="1" applyFont="1" applyAlignment="1">
      <alignment horizontal="center" vertical="center"/>
    </xf>
    <xf numFmtId="167" fontId="20" fillId="0" borderId="44" xfId="1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/>
    </xf>
    <xf numFmtId="169" fontId="25" fillId="0" borderId="41" xfId="0" applyNumberFormat="1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167" fontId="25" fillId="0" borderId="28" xfId="1" applyFont="1" applyBorder="1" applyAlignment="1">
      <alignment horizontal="center" vertical="center"/>
    </xf>
    <xf numFmtId="0" fontId="24" fillId="9" borderId="31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 wrapText="1"/>
    </xf>
    <xf numFmtId="0" fontId="21" fillId="9" borderId="35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/>
    </xf>
    <xf numFmtId="0" fontId="24" fillId="9" borderId="38" xfId="0" applyFont="1" applyFill="1" applyBorder="1"/>
    <xf numFmtId="171" fontId="24" fillId="9" borderId="38" xfId="0" applyNumberFormat="1" applyFont="1" applyFill="1" applyBorder="1"/>
    <xf numFmtId="171" fontId="24" fillId="9" borderId="39" xfId="0" applyNumberFormat="1" applyFont="1" applyFill="1" applyBorder="1"/>
    <xf numFmtId="171" fontId="24" fillId="9" borderId="0" xfId="0" applyNumberFormat="1" applyFont="1" applyFill="1"/>
    <xf numFmtId="0" fontId="24" fillId="9" borderId="40" xfId="0" applyFont="1" applyFill="1" applyBorder="1"/>
    <xf numFmtId="171" fontId="24" fillId="9" borderId="40" xfId="0" applyNumberFormat="1" applyFont="1" applyFill="1" applyBorder="1"/>
    <xf numFmtId="171" fontId="24" fillId="9" borderId="28" xfId="0" applyNumberFormat="1" applyFont="1" applyFill="1" applyBorder="1"/>
    <xf numFmtId="171" fontId="24" fillId="9" borderId="41" xfId="0" applyNumberFormat="1" applyFont="1" applyFill="1" applyBorder="1"/>
    <xf numFmtId="0" fontId="21" fillId="9" borderId="31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9" fontId="20" fillId="11" borderId="0" xfId="3" applyFont="1" applyFill="1" applyBorder="1" applyAlignment="1">
      <alignment horizontal="center" vertical="center"/>
    </xf>
    <xf numFmtId="4" fontId="18" fillId="9" borderId="34" xfId="0" applyNumberFormat="1" applyFont="1" applyFill="1" applyBorder="1"/>
    <xf numFmtId="4" fontId="17" fillId="9" borderId="27" xfId="0" applyNumberFormat="1" applyFont="1" applyFill="1" applyBorder="1"/>
    <xf numFmtId="4" fontId="17" fillId="11" borderId="27" xfId="0" applyNumberFormat="1" applyFont="1" applyFill="1" applyBorder="1"/>
    <xf numFmtId="0" fontId="17" fillId="9" borderId="25" xfId="0" applyFont="1" applyFill="1" applyBorder="1"/>
    <xf numFmtId="4" fontId="18" fillId="9" borderId="27" xfId="0" applyNumberFormat="1" applyFont="1" applyFill="1" applyBorder="1"/>
    <xf numFmtId="4" fontId="18" fillId="9" borderId="33" xfId="0" applyNumberFormat="1" applyFont="1" applyFill="1" applyBorder="1"/>
    <xf numFmtId="0" fontId="22" fillId="9" borderId="0" xfId="0" applyFont="1" applyFill="1"/>
    <xf numFmtId="0" fontId="1" fillId="9" borderId="36" xfId="0" applyFont="1" applyFill="1" applyBorder="1"/>
    <xf numFmtId="0" fontId="1" fillId="9" borderId="38" xfId="0" applyFont="1" applyFill="1" applyBorder="1"/>
    <xf numFmtId="0" fontId="2" fillId="9" borderId="31" xfId="0" applyFont="1" applyFill="1" applyBorder="1"/>
    <xf numFmtId="0" fontId="17" fillId="9" borderId="33" xfId="0" applyFont="1" applyFill="1" applyBorder="1" applyAlignment="1">
      <alignment horizontal="center" vertical="center" wrapText="1"/>
    </xf>
    <xf numFmtId="0" fontId="20" fillId="0" borderId="45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0" borderId="47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164" fontId="22" fillId="0" borderId="0" xfId="0" applyNumberFormat="1" applyFont="1" applyAlignment="1">
      <alignment horizontal="left" vertical="center" wrapText="1"/>
    </xf>
    <xf numFmtId="164" fontId="22" fillId="0" borderId="49" xfId="0" applyNumberFormat="1" applyFont="1" applyBorder="1" applyAlignment="1">
      <alignment horizontal="left" vertical="center" wrapText="1"/>
    </xf>
    <xf numFmtId="0" fontId="22" fillId="0" borderId="50" xfId="0" applyFont="1" applyBorder="1" applyAlignment="1">
      <alignment horizontal="left" vertical="center" wrapText="1"/>
    </xf>
    <xf numFmtId="164" fontId="22" fillId="0" borderId="51" xfId="0" applyNumberFormat="1" applyFont="1" applyBorder="1" applyAlignment="1">
      <alignment horizontal="left" vertical="center" wrapText="1"/>
    </xf>
    <xf numFmtId="164" fontId="22" fillId="0" borderId="52" xfId="0" applyNumberFormat="1" applyFont="1" applyBorder="1" applyAlignment="1">
      <alignment horizontal="left" vertical="center" wrapText="1"/>
    </xf>
    <xf numFmtId="0" fontId="17" fillId="11" borderId="33" xfId="0" applyFont="1" applyFill="1" applyBorder="1" applyAlignment="1">
      <alignment horizontal="center" vertical="center" wrapText="1"/>
    </xf>
    <xf numFmtId="4" fontId="18" fillId="11" borderId="33" xfId="0" applyNumberFormat="1" applyFont="1" applyFill="1" applyBorder="1"/>
    <xf numFmtId="4" fontId="18" fillId="11" borderId="34" xfId="0" applyNumberFormat="1" applyFont="1" applyFill="1" applyBorder="1"/>
    <xf numFmtId="4" fontId="18" fillId="11" borderId="27" xfId="0" applyNumberFormat="1" applyFont="1" applyFill="1" applyBorder="1"/>
    <xf numFmtId="167" fontId="1" fillId="9" borderId="24" xfId="1" applyFont="1" applyFill="1" applyBorder="1"/>
    <xf numFmtId="167" fontId="1" fillId="9" borderId="29" xfId="1" applyFont="1" applyFill="1" applyBorder="1"/>
    <xf numFmtId="167" fontId="1" fillId="9" borderId="0" xfId="1" applyFont="1" applyFill="1" applyBorder="1"/>
    <xf numFmtId="0" fontId="1" fillId="11" borderId="24" xfId="0" applyFont="1" applyFill="1" applyBorder="1"/>
    <xf numFmtId="167" fontId="1" fillId="11" borderId="24" xfId="1" applyFont="1" applyFill="1" applyBorder="1"/>
    <xf numFmtId="0" fontId="1" fillId="11" borderId="29" xfId="0" applyFont="1" applyFill="1" applyBorder="1"/>
    <xf numFmtId="167" fontId="1" fillId="11" borderId="29" xfId="1" applyFont="1" applyFill="1" applyBorder="1"/>
    <xf numFmtId="3" fontId="2" fillId="9" borderId="25" xfId="0" applyNumberFormat="1" applyFont="1" applyFill="1" applyBorder="1"/>
    <xf numFmtId="3" fontId="1" fillId="9" borderId="34" xfId="0" applyNumberFormat="1" applyFont="1" applyFill="1" applyBorder="1"/>
    <xf numFmtId="0" fontId="1" fillId="9" borderId="34" xfId="0" applyFont="1" applyFill="1" applyBorder="1"/>
    <xf numFmtId="0" fontId="1" fillId="9" borderId="31" xfId="0" applyFont="1" applyFill="1" applyBorder="1"/>
    <xf numFmtId="0" fontId="2" fillId="9" borderId="25" xfId="0" applyFont="1" applyFill="1" applyBorder="1" applyAlignment="1">
      <alignment wrapText="1"/>
    </xf>
    <xf numFmtId="0" fontId="2" fillId="9" borderId="35" xfId="0" applyFont="1" applyFill="1" applyBorder="1"/>
    <xf numFmtId="0" fontId="2" fillId="9" borderId="26" xfId="0" applyFont="1" applyFill="1" applyBorder="1"/>
    <xf numFmtId="0" fontId="1" fillId="9" borderId="37" xfId="0" applyFont="1" applyFill="1" applyBorder="1"/>
    <xf numFmtId="3" fontId="1" fillId="9" borderId="39" xfId="0" applyNumberFormat="1" applyFont="1" applyFill="1" applyBorder="1"/>
    <xf numFmtId="0" fontId="2" fillId="9" borderId="25" xfId="0" applyFont="1" applyFill="1" applyBorder="1"/>
    <xf numFmtId="166" fontId="2" fillId="9" borderId="35" xfId="2" applyFont="1" applyFill="1" applyBorder="1"/>
    <xf numFmtId="166" fontId="2" fillId="9" borderId="26" xfId="2" applyFont="1" applyFill="1" applyBorder="1"/>
    <xf numFmtId="0" fontId="2" fillId="9" borderId="33" xfId="0" applyFont="1" applyFill="1" applyBorder="1" applyAlignment="1">
      <alignment horizontal="center" wrapText="1"/>
    </xf>
    <xf numFmtId="0" fontId="18" fillId="9" borderId="0" xfId="0" applyFont="1" applyFill="1" applyAlignment="1">
      <alignment wrapText="1"/>
    </xf>
    <xf numFmtId="3" fontId="18" fillId="9" borderId="0" xfId="0" applyNumberFormat="1" applyFont="1" applyFill="1"/>
    <xf numFmtId="0" fontId="17" fillId="5" borderId="0" xfId="0" applyFont="1" applyFill="1"/>
    <xf numFmtId="3" fontId="17" fillId="5" borderId="0" xfId="0" applyNumberFormat="1" applyFont="1" applyFill="1"/>
    <xf numFmtId="0" fontId="17" fillId="11" borderId="0" xfId="0" applyFont="1" applyFill="1"/>
    <xf numFmtId="3" fontId="17" fillId="11" borderId="0" xfId="0" applyNumberFormat="1" applyFont="1" applyFill="1"/>
    <xf numFmtId="0" fontId="17" fillId="9" borderId="0" xfId="0" applyFont="1" applyFill="1" applyAlignment="1">
      <alignment wrapText="1"/>
    </xf>
    <xf numFmtId="3" fontId="1" fillId="0" borderId="0" xfId="0" applyNumberFormat="1" applyFont="1" applyAlignment="1">
      <alignment horizontal="center"/>
    </xf>
    <xf numFmtId="0" fontId="10" fillId="9" borderId="0" xfId="0" applyFont="1" applyFill="1" applyAlignment="1">
      <alignment horizontal="center" vertical="center"/>
    </xf>
    <xf numFmtId="3" fontId="7" fillId="12" borderId="1" xfId="0" applyNumberFormat="1" applyFont="1" applyFill="1" applyBorder="1"/>
    <xf numFmtId="3" fontId="7" fillId="13" borderId="1" xfId="0" applyNumberFormat="1" applyFont="1" applyFill="1" applyBorder="1"/>
    <xf numFmtId="3" fontId="7" fillId="5" borderId="1" xfId="0" applyNumberFormat="1" applyFont="1" applyFill="1" applyBorder="1"/>
    <xf numFmtId="0" fontId="4" fillId="0" borderId="7" xfId="0" applyFont="1" applyBorder="1"/>
    <xf numFmtId="3" fontId="3" fillId="0" borderId="4" xfId="0" applyNumberFormat="1" applyFont="1" applyBorder="1"/>
    <xf numFmtId="0" fontId="7" fillId="0" borderId="8" xfId="0" applyFont="1" applyBorder="1"/>
    <xf numFmtId="3" fontId="7" fillId="0" borderId="3" xfId="0" applyNumberFormat="1" applyFont="1" applyBorder="1"/>
    <xf numFmtId="0" fontId="27" fillId="0" borderId="4" xfId="0" applyFont="1" applyBorder="1"/>
    <xf numFmtId="0" fontId="27" fillId="0" borderId="2" xfId="0" applyFont="1" applyBorder="1"/>
    <xf numFmtId="0" fontId="4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5" xfId="0" applyFont="1" applyBorder="1"/>
    <xf numFmtId="3" fontId="3" fillId="0" borderId="3" xfId="0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3" fontId="7" fillId="0" borderId="25" xfId="0" applyNumberFormat="1" applyFont="1" applyBorder="1"/>
    <xf numFmtId="9" fontId="1" fillId="9" borderId="39" xfId="3" applyFont="1" applyFill="1" applyBorder="1" applyAlignment="1">
      <alignment horizontal="center"/>
    </xf>
    <xf numFmtId="0" fontId="1" fillId="9" borderId="40" xfId="0" applyFont="1" applyFill="1" applyBorder="1"/>
    <xf numFmtId="9" fontId="1" fillId="9" borderId="28" xfId="3" applyFont="1" applyFill="1" applyBorder="1" applyAlignment="1">
      <alignment horizontal="center"/>
    </xf>
    <xf numFmtId="9" fontId="2" fillId="9" borderId="26" xfId="3" applyFont="1" applyFill="1" applyBorder="1" applyAlignment="1">
      <alignment horizontal="center"/>
    </xf>
    <xf numFmtId="9" fontId="1" fillId="9" borderId="34" xfId="3" applyFont="1" applyFill="1" applyBorder="1" applyAlignment="1">
      <alignment horizontal="center"/>
    </xf>
    <xf numFmtId="9" fontId="1" fillId="9" borderId="27" xfId="3" applyFont="1" applyFill="1" applyBorder="1" applyAlignment="1">
      <alignment horizontal="center"/>
    </xf>
    <xf numFmtId="9" fontId="2" fillId="9" borderId="25" xfId="3" applyFont="1" applyFill="1" applyBorder="1" applyAlignment="1">
      <alignment horizontal="center"/>
    </xf>
    <xf numFmtId="0" fontId="27" fillId="0" borderId="31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3" fontId="1" fillId="9" borderId="0" xfId="0" applyNumberFormat="1" applyFont="1" applyFill="1" applyAlignment="1">
      <alignment horizontal="center"/>
    </xf>
    <xf numFmtId="0" fontId="29" fillId="14" borderId="3" xfId="0" quotePrefix="1" applyFont="1" applyFill="1" applyBorder="1" applyAlignment="1">
      <alignment horizontal="center" vertical="center" wrapText="1"/>
    </xf>
    <xf numFmtId="10" fontId="0" fillId="15" borderId="1" xfId="0" applyNumberFormat="1" applyFill="1" applyBorder="1"/>
    <xf numFmtId="3" fontId="2" fillId="9" borderId="0" xfId="0" applyNumberFormat="1" applyFont="1" applyFill="1" applyAlignment="1">
      <alignment horizontal="center"/>
    </xf>
    <xf numFmtId="177" fontId="28" fillId="14" borderId="1" xfId="0" applyNumberFormat="1" applyFont="1" applyFill="1" applyBorder="1" applyAlignment="1">
      <alignment wrapText="1"/>
    </xf>
    <xf numFmtId="0" fontId="28" fillId="14" borderId="1" xfId="0" quotePrefix="1" applyFont="1" applyFill="1" applyBorder="1" applyAlignment="1">
      <alignment horizontal="right"/>
    </xf>
    <xf numFmtId="0" fontId="28" fillId="14" borderId="3" xfId="0" quotePrefix="1" applyFont="1" applyFill="1" applyBorder="1" applyAlignment="1">
      <alignment horizontal="center" vertical="top" wrapText="1"/>
    </xf>
    <xf numFmtId="0" fontId="30" fillId="10" borderId="3" xfId="0" applyFont="1" applyFill="1" applyBorder="1" applyAlignment="1">
      <alignment horizontal="left" vertical="top"/>
    </xf>
    <xf numFmtId="180" fontId="30" fillId="15" borderId="2" xfId="0" applyNumberFormat="1" applyFont="1" applyFill="1" applyBorder="1" applyAlignment="1" applyProtection="1">
      <alignment horizontal="center" wrapText="1"/>
      <protection locked="0"/>
    </xf>
    <xf numFmtId="0" fontId="31" fillId="15" borderId="2" xfId="0" applyFont="1" applyFill="1" applyBorder="1" applyAlignment="1">
      <alignment horizontal="left" vertical="top"/>
    </xf>
    <xf numFmtId="180" fontId="31" fillId="15" borderId="2" xfId="0" applyNumberFormat="1" applyFont="1" applyFill="1" applyBorder="1" applyAlignment="1">
      <alignment horizontal="left"/>
    </xf>
    <xf numFmtId="0" fontId="28" fillId="14" borderId="3" xfId="0" quotePrefix="1" applyFont="1" applyFill="1" applyBorder="1" applyAlignment="1">
      <alignment horizontal="left" vertical="top"/>
    </xf>
    <xf numFmtId="0" fontId="30" fillId="14" borderId="1" xfId="0" applyFont="1" applyFill="1" applyBorder="1" applyAlignment="1">
      <alignment horizontal="center" vertical="top" wrapText="1"/>
    </xf>
    <xf numFmtId="180" fontId="30" fillId="9" borderId="3" xfId="0" applyNumberFormat="1" applyFont="1" applyFill="1" applyBorder="1" applyAlignment="1">
      <alignment horizontal="left"/>
    </xf>
    <xf numFmtId="180" fontId="30" fillId="10" borderId="3" xfId="0" applyNumberFormat="1" applyFont="1" applyFill="1" applyBorder="1" applyAlignment="1">
      <alignment horizontal="left"/>
    </xf>
    <xf numFmtId="180" fontId="30" fillId="10" borderId="3" xfId="0" applyNumberFormat="1" applyFont="1" applyFill="1" applyBorder="1" applyAlignment="1">
      <alignment horizontal="center" wrapText="1"/>
    </xf>
    <xf numFmtId="180" fontId="30" fillId="10" borderId="3" xfId="0" applyNumberFormat="1" applyFont="1" applyFill="1" applyBorder="1" applyAlignment="1">
      <alignment horizontal="center"/>
    </xf>
    <xf numFmtId="180" fontId="30" fillId="9" borderId="3" xfId="0" applyNumberFormat="1" applyFont="1" applyFill="1" applyBorder="1" applyAlignment="1">
      <alignment horizontal="center"/>
    </xf>
    <xf numFmtId="180" fontId="30" fillId="0" borderId="3" xfId="0" applyNumberFormat="1" applyFont="1" applyBorder="1" applyAlignment="1">
      <alignment horizontal="left"/>
    </xf>
    <xf numFmtId="169" fontId="30" fillId="16" borderId="3" xfId="1" applyNumberFormat="1" applyFont="1" applyFill="1" applyBorder="1" applyAlignment="1">
      <alignment horizontal="right"/>
    </xf>
    <xf numFmtId="169" fontId="30" fillId="16" borderId="1" xfId="1" applyNumberFormat="1" applyFont="1" applyFill="1" applyBorder="1" applyAlignment="1">
      <alignment horizontal="right"/>
    </xf>
    <xf numFmtId="169" fontId="30" fillId="0" borderId="1" xfId="1" applyNumberFormat="1" applyFont="1" applyFill="1" applyBorder="1" applyProtection="1">
      <protection locked="0"/>
    </xf>
    <xf numFmtId="180" fontId="30" fillId="9" borderId="3" xfId="0" applyNumberFormat="1" applyFont="1" applyFill="1" applyBorder="1" applyAlignment="1">
      <alignment horizontal="left" wrapText="1"/>
    </xf>
    <xf numFmtId="169" fontId="30" fillId="16" borderId="2" xfId="1" applyNumberFormat="1" applyFont="1" applyFill="1" applyBorder="1" applyAlignment="1">
      <alignment horizontal="right"/>
    </xf>
    <xf numFmtId="3" fontId="2" fillId="12" borderId="0" xfId="0" applyNumberFormat="1" applyFont="1" applyFill="1" applyAlignment="1">
      <alignment horizontal="center"/>
    </xf>
    <xf numFmtId="0" fontId="17" fillId="9" borderId="0" xfId="0" applyFont="1" applyFill="1" applyAlignment="1">
      <alignment horizontal="center"/>
    </xf>
    <xf numFmtId="0" fontId="17" fillId="9" borderId="4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/>
    </xf>
    <xf numFmtId="0" fontId="17" fillId="9" borderId="17" xfId="0" applyFont="1" applyFill="1" applyBorder="1" applyAlignment="1">
      <alignment horizontal="center"/>
    </xf>
    <xf numFmtId="9" fontId="18" fillId="9" borderId="4" xfId="0" applyNumberFormat="1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wrapText="1"/>
    </xf>
    <xf numFmtId="9" fontId="18" fillId="9" borderId="17" xfId="0" applyNumberFormat="1" applyFont="1" applyFill="1" applyBorder="1" applyAlignment="1">
      <alignment horizontal="center" wrapText="1"/>
    </xf>
    <xf numFmtId="9" fontId="18" fillId="9" borderId="2" xfId="0" applyNumberFormat="1" applyFont="1" applyFill="1" applyBorder="1" applyAlignment="1">
      <alignment horizontal="center" vertical="center"/>
    </xf>
    <xf numFmtId="9" fontId="18" fillId="9" borderId="3" xfId="0" applyNumberFormat="1" applyFont="1" applyFill="1" applyBorder="1" applyAlignment="1">
      <alignment horizontal="center" vertical="center"/>
    </xf>
    <xf numFmtId="9" fontId="18" fillId="9" borderId="3" xfId="0" applyNumberFormat="1" applyFont="1" applyFill="1" applyBorder="1" applyAlignment="1">
      <alignment horizontal="center" wrapText="1"/>
    </xf>
    <xf numFmtId="9" fontId="18" fillId="9" borderId="23" xfId="0" applyNumberFormat="1" applyFont="1" applyFill="1" applyBorder="1" applyAlignment="1">
      <alignment horizontal="center" wrapText="1"/>
    </xf>
    <xf numFmtId="0" fontId="18" fillId="9" borderId="2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 wrapText="1"/>
    </xf>
    <xf numFmtId="0" fontId="18" fillId="9" borderId="17" xfId="0" applyFont="1" applyFill="1" applyBorder="1" applyAlignment="1">
      <alignment horizontal="center" wrapText="1"/>
    </xf>
    <xf numFmtId="0" fontId="18" fillId="9" borderId="3" xfId="0" applyFont="1" applyFill="1" applyBorder="1" applyAlignment="1">
      <alignment horizontal="center" wrapText="1"/>
    </xf>
    <xf numFmtId="0" fontId="18" fillId="9" borderId="23" xfId="0" applyFont="1" applyFill="1" applyBorder="1" applyAlignment="1">
      <alignment horizontal="center" wrapText="1"/>
    </xf>
    <xf numFmtId="0" fontId="18" fillId="9" borderId="3" xfId="0" applyFont="1" applyFill="1" applyBorder="1" applyAlignment="1">
      <alignment horizontal="center" vertical="center"/>
    </xf>
    <xf numFmtId="9" fontId="18" fillId="9" borderId="3" xfId="0" applyNumberFormat="1" applyFont="1" applyFill="1" applyBorder="1" applyAlignment="1">
      <alignment horizontal="center" vertical="center" wrapText="1"/>
    </xf>
    <xf numFmtId="0" fontId="40" fillId="18" borderId="53" xfId="0" applyFont="1" applyFill="1" applyBorder="1" applyAlignment="1">
      <alignment horizontal="center" vertical="center" wrapText="1" readingOrder="1"/>
    </xf>
    <xf numFmtId="0" fontId="41" fillId="19" borderId="54" xfId="0" applyFont="1" applyFill="1" applyBorder="1" applyAlignment="1">
      <alignment horizontal="left" wrapText="1" readingOrder="1"/>
    </xf>
    <xf numFmtId="3" fontId="41" fillId="19" borderId="54" xfId="0" applyNumberFormat="1" applyFont="1" applyFill="1" applyBorder="1" applyAlignment="1">
      <alignment horizontal="right" wrapText="1" readingOrder="1"/>
    </xf>
    <xf numFmtId="0" fontId="41" fillId="20" borderId="55" xfId="0" applyFont="1" applyFill="1" applyBorder="1" applyAlignment="1">
      <alignment horizontal="left" wrapText="1" readingOrder="1"/>
    </xf>
    <xf numFmtId="3" fontId="41" fillId="20" borderId="55" xfId="0" applyNumberFormat="1" applyFont="1" applyFill="1" applyBorder="1" applyAlignment="1">
      <alignment horizontal="right" wrapText="1" readingOrder="1"/>
    </xf>
    <xf numFmtId="0" fontId="41" fillId="19" borderId="55" xfId="0" applyFont="1" applyFill="1" applyBorder="1" applyAlignment="1">
      <alignment horizontal="left" wrapText="1" readingOrder="1"/>
    </xf>
    <xf numFmtId="3" fontId="41" fillId="19" borderId="55" xfId="0" applyNumberFormat="1" applyFont="1" applyFill="1" applyBorder="1" applyAlignment="1">
      <alignment horizontal="right" wrapText="1" readingOrder="1"/>
    </xf>
    <xf numFmtId="0" fontId="42" fillId="20" borderId="55" xfId="0" applyFont="1" applyFill="1" applyBorder="1" applyAlignment="1">
      <alignment horizontal="left" wrapText="1" readingOrder="1"/>
    </xf>
    <xf numFmtId="0" fontId="43" fillId="20" borderId="55" xfId="0" applyFont="1" applyFill="1" applyBorder="1" applyAlignment="1">
      <alignment vertical="top" wrapText="1"/>
    </xf>
    <xf numFmtId="3" fontId="43" fillId="20" borderId="55" xfId="0" applyNumberFormat="1" applyFont="1" applyFill="1" applyBorder="1" applyAlignment="1">
      <alignment vertical="top" wrapText="1"/>
    </xf>
    <xf numFmtId="165" fontId="41" fillId="19" borderId="54" xfId="0" applyNumberFormat="1" applyFont="1" applyFill="1" applyBorder="1" applyAlignment="1">
      <alignment horizontal="left" wrapText="1" readingOrder="1"/>
    </xf>
    <xf numFmtId="3" fontId="41" fillId="19" borderId="54" xfId="0" applyNumberFormat="1" applyFont="1" applyFill="1" applyBorder="1" applyAlignment="1">
      <alignment horizontal="center" wrapText="1" readingOrder="1"/>
    </xf>
    <xf numFmtId="165" fontId="41" fillId="20" borderId="55" xfId="0" applyNumberFormat="1" applyFont="1" applyFill="1" applyBorder="1" applyAlignment="1">
      <alignment horizontal="left" wrapText="1" readingOrder="1"/>
    </xf>
    <xf numFmtId="3" fontId="41" fillId="20" borderId="55" xfId="0" applyNumberFormat="1" applyFont="1" applyFill="1" applyBorder="1" applyAlignment="1">
      <alignment horizontal="center" wrapText="1" readingOrder="1"/>
    </xf>
    <xf numFmtId="165" fontId="41" fillId="19" borderId="55" xfId="0" applyNumberFormat="1" applyFont="1" applyFill="1" applyBorder="1" applyAlignment="1">
      <alignment horizontal="left" wrapText="1" readingOrder="1"/>
    </xf>
    <xf numFmtId="3" fontId="41" fillId="19" borderId="55" xfId="0" applyNumberFormat="1" applyFont="1" applyFill="1" applyBorder="1" applyAlignment="1">
      <alignment horizontal="center" wrapText="1" readingOrder="1"/>
    </xf>
    <xf numFmtId="165" fontId="42" fillId="20" borderId="55" xfId="0" applyNumberFormat="1" applyFont="1" applyFill="1" applyBorder="1" applyAlignment="1">
      <alignment horizontal="left" wrapText="1" readingOrder="1"/>
    </xf>
    <xf numFmtId="3" fontId="42" fillId="20" borderId="55" xfId="0" applyNumberFormat="1" applyFont="1" applyFill="1" applyBorder="1" applyAlignment="1">
      <alignment horizontal="center" wrapText="1" readingOrder="1"/>
    </xf>
    <xf numFmtId="0" fontId="44" fillId="21" borderId="0" xfId="0" applyFont="1" applyFill="1" applyAlignment="1">
      <alignment horizontal="center" vertical="center" wrapText="1"/>
    </xf>
    <xf numFmtId="0" fontId="45" fillId="21" borderId="0" xfId="0" applyFont="1" applyFill="1" applyAlignment="1">
      <alignment vertical="center"/>
    </xf>
    <xf numFmtId="0" fontId="45" fillId="21" borderId="0" xfId="0" applyFont="1" applyFill="1" applyAlignment="1">
      <alignment horizontal="right" vertical="center"/>
    </xf>
    <xf numFmtId="3" fontId="45" fillId="21" borderId="0" xfId="0" applyNumberFormat="1" applyFont="1" applyFill="1" applyAlignment="1">
      <alignment horizontal="right" vertical="center"/>
    </xf>
    <xf numFmtId="0" fontId="44" fillId="21" borderId="0" xfId="0" applyFont="1" applyFill="1" applyAlignment="1">
      <alignment vertical="center"/>
    </xf>
    <xf numFmtId="3" fontId="44" fillId="21" borderId="0" xfId="0" applyNumberFormat="1" applyFont="1" applyFill="1" applyAlignment="1">
      <alignment horizontal="right" vertical="center"/>
    </xf>
    <xf numFmtId="0" fontId="20" fillId="12" borderId="25" xfId="0" applyFont="1" applyFill="1" applyBorder="1" applyAlignment="1">
      <alignment horizontal="center"/>
    </xf>
    <xf numFmtId="0" fontId="22" fillId="9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22" fillId="9" borderId="0" xfId="0" applyFont="1" applyFill="1" applyAlignment="1">
      <alignment horizontal="center" vertical="center"/>
    </xf>
    <xf numFmtId="3" fontId="22" fillId="22" borderId="0" xfId="0" applyNumberFormat="1" applyFont="1" applyFill="1"/>
    <xf numFmtId="0" fontId="22" fillId="0" borderId="0" xfId="0" applyFont="1"/>
    <xf numFmtId="0" fontId="33" fillId="23" borderId="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174" fontId="22" fillId="0" borderId="1" xfId="0" applyNumberFormat="1" applyFont="1" applyBorder="1" applyAlignment="1">
      <alignment vertical="center"/>
    </xf>
    <xf numFmtId="174" fontId="22" fillId="9" borderId="0" xfId="0" applyNumberFormat="1" applyFont="1" applyFill="1"/>
    <xf numFmtId="166" fontId="22" fillId="9" borderId="0" xfId="0" applyNumberFormat="1" applyFont="1" applyFill="1"/>
    <xf numFmtId="166" fontId="22" fillId="12" borderId="0" xfId="0" applyNumberFormat="1" applyFont="1" applyFill="1"/>
    <xf numFmtId="0" fontId="17" fillId="9" borderId="0" xfId="0" applyFont="1" applyFill="1" applyAlignment="1">
      <alignment horizontal="center" vertical="center"/>
    </xf>
    <xf numFmtId="3" fontId="17" fillId="9" borderId="0" xfId="0" applyNumberFormat="1" applyFont="1" applyFill="1"/>
    <xf numFmtId="166" fontId="18" fillId="9" borderId="0" xfId="2" applyFont="1" applyFill="1"/>
    <xf numFmtId="2" fontId="7" fillId="4" borderId="25" xfId="0" quotePrefix="1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2" fontId="3" fillId="0" borderId="56" xfId="0" applyNumberFormat="1" applyFont="1" applyBorder="1" applyAlignment="1">
      <alignment horizontal="center" wrapText="1"/>
    </xf>
    <xf numFmtId="3" fontId="3" fillId="0" borderId="57" xfId="0" applyNumberFormat="1" applyFont="1" applyBorder="1" applyAlignment="1">
      <alignment horizontal="center" wrapText="1"/>
    </xf>
    <xf numFmtId="3" fontId="3" fillId="0" borderId="58" xfId="0" applyNumberFormat="1" applyFont="1" applyBorder="1" applyAlignment="1">
      <alignment horizontal="center" wrapText="1"/>
    </xf>
    <xf numFmtId="3" fontId="3" fillId="0" borderId="32" xfId="0" applyNumberFormat="1" applyFont="1" applyBorder="1" applyAlignment="1">
      <alignment horizontal="center" wrapText="1"/>
    </xf>
    <xf numFmtId="167" fontId="2" fillId="9" borderId="0" xfId="1" applyFont="1" applyFill="1" applyAlignment="1">
      <alignment horizontal="center" vertical="center" wrapText="1"/>
    </xf>
    <xf numFmtId="181" fontId="2" fillId="9" borderId="0" xfId="0" applyNumberFormat="1" applyFont="1" applyFill="1" applyAlignment="1">
      <alignment horizontal="center" vertical="center" wrapText="1"/>
    </xf>
    <xf numFmtId="181" fontId="1" fillId="9" borderId="0" xfId="1" applyNumberFormat="1" applyFont="1" applyFill="1"/>
    <xf numFmtId="181" fontId="1" fillId="9" borderId="0" xfId="0" applyNumberFormat="1" applyFont="1" applyFill="1"/>
    <xf numFmtId="181" fontId="2" fillId="9" borderId="0" xfId="0" applyNumberFormat="1" applyFont="1" applyFill="1"/>
    <xf numFmtId="0" fontId="1" fillId="12" borderId="0" xfId="0" applyFont="1" applyFill="1"/>
    <xf numFmtId="181" fontId="1" fillId="12" borderId="0" xfId="1" applyNumberFormat="1" applyFont="1" applyFill="1"/>
    <xf numFmtId="181" fontId="1" fillId="12" borderId="0" xfId="0" applyNumberFormat="1" applyFont="1" applyFill="1"/>
    <xf numFmtId="9" fontId="1" fillId="12" borderId="0" xfId="3" applyFont="1" applyFill="1"/>
    <xf numFmtId="9" fontId="2" fillId="9" borderId="0" xfId="3" applyFont="1" applyFill="1"/>
    <xf numFmtId="167" fontId="1" fillId="9" borderId="0" xfId="1" applyFont="1" applyFill="1"/>
    <xf numFmtId="167" fontId="1" fillId="12" borderId="0" xfId="1" applyFont="1" applyFill="1"/>
    <xf numFmtId="167" fontId="2" fillId="9" borderId="0" xfId="1" applyFont="1" applyFill="1"/>
    <xf numFmtId="167" fontId="0" fillId="9" borderId="0" xfId="1" applyFont="1" applyFill="1"/>
    <xf numFmtId="166" fontId="0" fillId="9" borderId="0" xfId="2" applyFont="1" applyFill="1"/>
    <xf numFmtId="166" fontId="2" fillId="9" borderId="0" xfId="2" applyFont="1" applyFill="1" applyAlignment="1">
      <alignment horizontal="center" vertical="center" wrapText="1"/>
    </xf>
    <xf numFmtId="176" fontId="1" fillId="2" borderId="25" xfId="3" applyNumberFormat="1" applyFont="1" applyFill="1" applyBorder="1"/>
    <xf numFmtId="166" fontId="2" fillId="9" borderId="0" xfId="2" applyFont="1" applyFill="1"/>
    <xf numFmtId="0" fontId="1" fillId="0" borderId="0" xfId="0" applyFont="1" applyAlignment="1">
      <alignment horizontal="left"/>
    </xf>
    <xf numFmtId="167" fontId="1" fillId="0" borderId="0" xfId="1" applyFont="1"/>
    <xf numFmtId="0" fontId="1" fillId="0" borderId="0" xfId="0" pivotButton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9" fontId="3" fillId="0" borderId="0" xfId="3" applyFont="1"/>
    <xf numFmtId="167" fontId="1" fillId="0" borderId="0" xfId="0" applyNumberFormat="1" applyFont="1"/>
    <xf numFmtId="167" fontId="3" fillId="0" borderId="2" xfId="1" applyFont="1" applyBorder="1"/>
    <xf numFmtId="9" fontId="18" fillId="9" borderId="2" xfId="0" applyNumberFormat="1" applyFont="1" applyFill="1" applyBorder="1" applyAlignment="1">
      <alignment horizontal="center" vertical="center" wrapText="1"/>
    </xf>
    <xf numFmtId="0" fontId="11" fillId="9" borderId="0" xfId="0" applyFont="1" applyFill="1"/>
    <xf numFmtId="4" fontId="11" fillId="9" borderId="0" xfId="0" applyNumberFormat="1" applyFont="1" applyFill="1"/>
    <xf numFmtId="0" fontId="47" fillId="9" borderId="0" xfId="0" applyFont="1" applyFill="1"/>
    <xf numFmtId="0" fontId="48" fillId="9" borderId="0" xfId="0" applyFont="1" applyFill="1"/>
    <xf numFmtId="0" fontId="49" fillId="9" borderId="59" xfId="0" applyFont="1" applyFill="1" applyBorder="1" applyAlignment="1">
      <alignment horizontal="center" vertical="center" wrapText="1"/>
    </xf>
    <xf numFmtId="0" fontId="50" fillId="9" borderId="60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/>
    </xf>
    <xf numFmtId="0" fontId="12" fillId="9" borderId="0" xfId="0" applyFont="1" applyFill="1"/>
    <xf numFmtId="0" fontId="48" fillId="9" borderId="63" xfId="0" applyFont="1" applyFill="1" applyBorder="1" applyAlignment="1">
      <alignment vertical="center" wrapText="1"/>
    </xf>
    <xf numFmtId="3" fontId="48" fillId="9" borderId="64" xfId="0" applyNumberFormat="1" applyFont="1" applyFill="1" applyBorder="1" applyAlignment="1">
      <alignment vertical="center" wrapText="1"/>
    </xf>
    <xf numFmtId="3" fontId="12" fillId="9" borderId="0" xfId="0" applyNumberFormat="1" applyFont="1" applyFill="1"/>
    <xf numFmtId="0" fontId="51" fillId="9" borderId="64" xfId="0" applyFont="1" applyFill="1" applyBorder="1" applyAlignment="1">
      <alignment vertical="center" wrapText="1"/>
    </xf>
    <xf numFmtId="0" fontId="48" fillId="9" borderId="64" xfId="0" applyFont="1" applyFill="1" applyBorder="1" applyAlignment="1">
      <alignment vertical="center" wrapText="1"/>
    </xf>
    <xf numFmtId="0" fontId="50" fillId="9" borderId="63" xfId="0" applyFont="1" applyFill="1" applyBorder="1" applyAlignment="1">
      <alignment vertical="center" wrapText="1"/>
    </xf>
    <xf numFmtId="0" fontId="49" fillId="9" borderId="64" xfId="0" applyFont="1" applyFill="1" applyBorder="1" applyAlignment="1">
      <alignment vertical="center" wrapText="1"/>
    </xf>
    <xf numFmtId="3" fontId="50" fillId="9" borderId="64" xfId="0" applyNumberFormat="1" applyFont="1" applyFill="1" applyBorder="1" applyAlignment="1">
      <alignment vertical="center" wrapText="1"/>
    </xf>
    <xf numFmtId="0" fontId="18" fillId="0" borderId="0" xfId="0" applyFont="1"/>
    <xf numFmtId="4" fontId="18" fillId="0" borderId="0" xfId="0" applyNumberFormat="1" applyFont="1"/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wrapText="1"/>
    </xf>
    <xf numFmtId="0" fontId="18" fillId="0" borderId="9" xfId="0" applyFont="1" applyBorder="1"/>
    <xf numFmtId="3" fontId="18" fillId="0" borderId="10" xfId="0" applyNumberFormat="1" applyFont="1" applyBorder="1"/>
    <xf numFmtId="0" fontId="18" fillId="0" borderId="11" xfId="0" applyFont="1" applyBorder="1"/>
    <xf numFmtId="14" fontId="18" fillId="0" borderId="0" xfId="0" applyNumberFormat="1" applyFont="1"/>
    <xf numFmtId="3" fontId="18" fillId="0" borderId="0" xfId="0" applyNumberFormat="1" applyFont="1"/>
    <xf numFmtId="0" fontId="26" fillId="0" borderId="0" xfId="0" applyFont="1"/>
    <xf numFmtId="0" fontId="52" fillId="0" borderId="0" xfId="0" applyFont="1"/>
    <xf numFmtId="49" fontId="18" fillId="0" borderId="0" xfId="0" applyNumberFormat="1" applyFont="1"/>
    <xf numFmtId="3" fontId="18" fillId="4" borderId="4" xfId="0" applyNumberFormat="1" applyFont="1" applyFill="1" applyBorder="1" applyAlignment="1">
      <alignment horizontal="right"/>
    </xf>
    <xf numFmtId="0" fontId="18" fillId="4" borderId="4" xfId="0" applyFont="1" applyFill="1" applyBorder="1" applyAlignment="1">
      <alignment horizontal="right"/>
    </xf>
    <xf numFmtId="4" fontId="18" fillId="4" borderId="12" xfId="0" applyNumberFormat="1" applyFont="1" applyFill="1" applyBorder="1" applyAlignment="1">
      <alignment horizontal="right"/>
    </xf>
    <xf numFmtId="0" fontId="18" fillId="0" borderId="1" xfId="0" applyFont="1" applyBorder="1" applyAlignment="1">
      <alignment wrapText="1"/>
    </xf>
    <xf numFmtId="3" fontId="18" fillId="4" borderId="3" xfId="0" quotePrefix="1" applyNumberFormat="1" applyFont="1" applyFill="1" applyBorder="1" applyAlignment="1">
      <alignment horizontal="right" vertical="top"/>
    </xf>
    <xf numFmtId="4" fontId="18" fillId="4" borderId="13" xfId="0" quotePrefix="1" applyNumberFormat="1" applyFont="1" applyFill="1" applyBorder="1" applyAlignment="1">
      <alignment horizontal="right" vertical="top"/>
    </xf>
    <xf numFmtId="3" fontId="18" fillId="0" borderId="14" xfId="1" applyNumberFormat="1" applyFont="1" applyFill="1" applyBorder="1"/>
    <xf numFmtId="3" fontId="18" fillId="0" borderId="1" xfId="0" applyNumberFormat="1" applyFont="1" applyBorder="1"/>
    <xf numFmtId="3" fontId="18" fillId="0" borderId="15" xfId="1" applyNumberFormat="1" applyFont="1" applyFill="1" applyBorder="1"/>
    <xf numFmtId="170" fontId="18" fillId="0" borderId="0" xfId="0" applyNumberFormat="1" applyFont="1"/>
    <xf numFmtId="170" fontId="18" fillId="0" borderId="14" xfId="0" applyNumberFormat="1" applyFont="1" applyBorder="1"/>
    <xf numFmtId="0" fontId="18" fillId="0" borderId="6" xfId="0" applyFont="1" applyBorder="1" applyAlignment="1">
      <alignment wrapText="1"/>
    </xf>
    <xf numFmtId="3" fontId="18" fillId="5" borderId="16" xfId="0" applyNumberFormat="1" applyFont="1" applyFill="1" applyBorder="1"/>
    <xf numFmtId="9" fontId="18" fillId="9" borderId="4" xfId="0" applyNumberFormat="1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/>
    </xf>
    <xf numFmtId="9" fontId="2" fillId="9" borderId="0" xfId="0" applyNumberFormat="1" applyFont="1" applyFill="1" applyAlignment="1">
      <alignment horizontal="center" vertical="center"/>
    </xf>
    <xf numFmtId="3" fontId="2" fillId="9" borderId="0" xfId="0" applyNumberFormat="1" applyFont="1" applyFill="1"/>
    <xf numFmtId="9" fontId="17" fillId="9" borderId="33" xfId="0" applyNumberFormat="1" applyFont="1" applyFill="1" applyBorder="1" applyAlignment="1">
      <alignment horizontal="center" vertical="center" wrapText="1"/>
    </xf>
    <xf numFmtId="9" fontId="18" fillId="9" borderId="2" xfId="0" applyNumberFormat="1" applyFont="1" applyFill="1" applyBorder="1" applyAlignment="1">
      <alignment horizontal="center" wrapText="1"/>
    </xf>
    <xf numFmtId="9" fontId="18" fillId="9" borderId="6" xfId="0" applyNumberFormat="1" applyFont="1" applyFill="1" applyBorder="1" applyAlignment="1">
      <alignment horizontal="center" wrapText="1"/>
    </xf>
    <xf numFmtId="164" fontId="18" fillId="24" borderId="2" xfId="0" applyNumberFormat="1" applyFont="1" applyFill="1" applyBorder="1" applyAlignment="1">
      <alignment horizontal="center" wrapText="1"/>
    </xf>
    <xf numFmtId="164" fontId="18" fillId="24" borderId="6" xfId="0" applyNumberFormat="1" applyFont="1" applyFill="1" applyBorder="1" applyAlignment="1">
      <alignment horizontal="center" wrapText="1"/>
    </xf>
    <xf numFmtId="0" fontId="18" fillId="24" borderId="2" xfId="0" applyFont="1" applyFill="1" applyBorder="1" applyAlignment="1">
      <alignment horizontal="center" wrapText="1"/>
    </xf>
    <xf numFmtId="0" fontId="17" fillId="24" borderId="1" xfId="0" applyFont="1" applyFill="1" applyBorder="1"/>
    <xf numFmtId="164" fontId="17" fillId="24" borderId="1" xfId="0" applyNumberFormat="1" applyFont="1" applyFill="1" applyBorder="1" applyAlignment="1">
      <alignment horizontal="center" wrapText="1"/>
    </xf>
    <xf numFmtId="164" fontId="18" fillId="25" borderId="2" xfId="0" applyNumberFormat="1" applyFont="1" applyFill="1" applyBorder="1" applyAlignment="1">
      <alignment horizontal="center" wrapText="1"/>
    </xf>
    <xf numFmtId="164" fontId="18" fillId="25" borderId="6" xfId="0" applyNumberFormat="1" applyFont="1" applyFill="1" applyBorder="1" applyAlignment="1">
      <alignment horizontal="center" wrapText="1"/>
    </xf>
    <xf numFmtId="0" fontId="17" fillId="25" borderId="1" xfId="0" applyFont="1" applyFill="1" applyBorder="1"/>
    <xf numFmtId="164" fontId="17" fillId="25" borderId="1" xfId="0" applyNumberFormat="1" applyFont="1" applyFill="1" applyBorder="1" applyAlignment="1">
      <alignment horizontal="center" wrapText="1"/>
    </xf>
    <xf numFmtId="0" fontId="20" fillId="9" borderId="0" xfId="0" applyFont="1" applyFill="1" applyAlignment="1">
      <alignment horizontal="center"/>
    </xf>
    <xf numFmtId="0" fontId="20" fillId="23" borderId="36" xfId="0" applyFont="1" applyFill="1" applyBorder="1" applyAlignment="1">
      <alignment horizontal="center" vertical="center"/>
    </xf>
    <xf numFmtId="0" fontId="20" fillId="23" borderId="37" xfId="0" applyFont="1" applyFill="1" applyBorder="1" applyAlignment="1">
      <alignment horizontal="center" vertical="center"/>
    </xf>
    <xf numFmtId="0" fontId="20" fillId="23" borderId="30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vertical="center" wrapText="1"/>
    </xf>
    <xf numFmtId="167" fontId="2" fillId="9" borderId="0" xfId="1" applyFont="1" applyFill="1" applyAlignment="1">
      <alignment horizontal="center" vertical="center" wrapText="1"/>
    </xf>
    <xf numFmtId="0" fontId="20" fillId="0" borderId="3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169" fontId="22" fillId="0" borderId="0" xfId="1" applyNumberFormat="1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9" borderId="36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18" fillId="9" borderId="7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 wrapText="1"/>
    </xf>
    <xf numFmtId="0" fontId="50" fillId="11" borderId="61" xfId="0" applyFont="1" applyFill="1" applyBorder="1" applyAlignment="1">
      <alignment vertical="center" wrapText="1"/>
    </xf>
    <xf numFmtId="0" fontId="50" fillId="11" borderId="62" xfId="0" applyFont="1" applyFill="1" applyBorder="1" applyAlignment="1">
      <alignment vertical="center" wrapText="1"/>
    </xf>
    <xf numFmtId="0" fontId="50" fillId="11" borderId="60" xfId="0" applyFont="1" applyFill="1" applyBorder="1" applyAlignment="1">
      <alignment vertical="center" wrapText="1"/>
    </xf>
    <xf numFmtId="0" fontId="2" fillId="9" borderId="31" xfId="0" applyFont="1" applyFill="1" applyBorder="1" applyAlignment="1">
      <alignment horizontal="center"/>
    </xf>
    <xf numFmtId="0" fontId="2" fillId="9" borderId="35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0" fontId="28" fillId="14" borderId="1" xfId="0" quotePrefix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14" borderId="4" xfId="0" quotePrefix="1" applyFont="1" applyFill="1" applyBorder="1" applyAlignment="1">
      <alignment horizontal="center" vertical="center" wrapText="1"/>
    </xf>
    <xf numFmtId="0" fontId="28" fillId="14" borderId="3" xfId="0" quotePrefix="1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4" fillId="26" borderId="65" xfId="0" applyFont="1" applyFill="1" applyBorder="1" applyAlignment="1">
      <alignment horizontal="left" vertical="center" wrapText="1"/>
    </xf>
    <xf numFmtId="0" fontId="54" fillId="26" borderId="66" xfId="0" applyFont="1" applyFill="1" applyBorder="1" applyAlignment="1">
      <alignment horizontal="left" vertical="center" wrapText="1"/>
    </xf>
    <xf numFmtId="0" fontId="54" fillId="26" borderId="67" xfId="0" applyFont="1" applyFill="1" applyBorder="1" applyAlignment="1">
      <alignment horizontal="left" vertical="center" wrapText="1"/>
    </xf>
    <xf numFmtId="0" fontId="55" fillId="21" borderId="68" xfId="0" applyFont="1" applyFill="1" applyBorder="1" applyAlignment="1">
      <alignment horizontal="left" vertical="center" wrapText="1"/>
    </xf>
    <xf numFmtId="0" fontId="53" fillId="0" borderId="69" xfId="0" applyFont="1" applyBorder="1" applyAlignment="1">
      <alignment horizontal="left" vertical="center" wrapText="1"/>
    </xf>
    <xf numFmtId="0" fontId="53" fillId="0" borderId="69" xfId="0" applyFont="1" applyBorder="1" applyAlignment="1">
      <alignment horizontal="left" vertical="center" wrapText="1"/>
    </xf>
    <xf numFmtId="0" fontId="53" fillId="0" borderId="70" xfId="0" applyFont="1" applyBorder="1" applyAlignment="1">
      <alignment horizontal="left" vertical="center" wrapText="1"/>
    </xf>
    <xf numFmtId="0" fontId="55" fillId="21" borderId="71" xfId="0" applyFont="1" applyFill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3" fillId="0" borderId="72" xfId="0" applyFont="1" applyBorder="1" applyAlignment="1">
      <alignment horizontal="left" vertical="center" wrapText="1"/>
    </xf>
    <xf numFmtId="0" fontId="55" fillId="21" borderId="73" xfId="0" applyFont="1" applyFill="1" applyBorder="1" applyAlignment="1">
      <alignment horizontal="left" vertical="center" wrapText="1"/>
    </xf>
    <xf numFmtId="0" fontId="53" fillId="0" borderId="74" xfId="0" applyFont="1" applyBorder="1" applyAlignment="1">
      <alignment horizontal="left" vertical="center" wrapText="1"/>
    </xf>
    <xf numFmtId="0" fontId="56" fillId="0" borderId="74" xfId="0" applyFont="1" applyBorder="1" applyAlignment="1">
      <alignment horizontal="left" vertical="center" wrapText="1"/>
    </xf>
    <xf numFmtId="0" fontId="53" fillId="0" borderId="75" xfId="0" applyFont="1" applyBorder="1" applyAlignment="1">
      <alignment horizontal="left" vertical="center" wrapText="1"/>
    </xf>
    <xf numFmtId="0" fontId="53" fillId="0" borderId="74" xfId="0" applyFont="1" applyBorder="1" applyAlignment="1">
      <alignment horizontal="left" vertical="center" wrapText="1"/>
    </xf>
    <xf numFmtId="0" fontId="55" fillId="21" borderId="76" xfId="0" applyFont="1" applyFill="1" applyBorder="1" applyAlignment="1">
      <alignment horizontal="left" vertical="center" wrapText="1"/>
    </xf>
    <xf numFmtId="0" fontId="53" fillId="0" borderId="62" xfId="0" applyFont="1" applyBorder="1" applyAlignment="1">
      <alignment horizontal="left" vertical="center" wrapText="1"/>
    </xf>
    <xf numFmtId="0" fontId="53" fillId="0" borderId="77" xfId="0" applyFont="1" applyBorder="1" applyAlignment="1">
      <alignment horizontal="left" vertical="center" wrapText="1"/>
    </xf>
    <xf numFmtId="0" fontId="55" fillId="21" borderId="78" xfId="0" applyFont="1" applyFill="1" applyBorder="1" applyAlignment="1">
      <alignment horizontal="left" vertical="center" wrapText="1"/>
    </xf>
    <xf numFmtId="0" fontId="53" fillId="0" borderId="79" xfId="0" applyFont="1" applyBorder="1" applyAlignment="1">
      <alignment horizontal="left" vertical="center" wrapText="1"/>
    </xf>
    <xf numFmtId="0" fontId="55" fillId="0" borderId="79" xfId="0" applyFont="1" applyBorder="1" applyAlignment="1">
      <alignment horizontal="left" vertical="center" wrapText="1"/>
    </xf>
    <xf numFmtId="0" fontId="53" fillId="0" borderId="80" xfId="0" applyFont="1" applyBorder="1" applyAlignment="1">
      <alignment horizontal="left" vertical="center" wrapText="1"/>
    </xf>
  </cellXfs>
  <cellStyles count="43">
    <cellStyle name="blank" xfId="24" xr:uid="{DDCA9DB6-7C37-4AB6-ABC2-AF8ACE33613B}"/>
    <cellStyle name="Comma" xfId="1" builtinId="3"/>
    <cellStyle name="Comma 2" xfId="4" xr:uid="{00000000-0005-0000-0000-000001000000}"/>
    <cellStyle name="Comma 2 2" xfId="5" xr:uid="{00000000-0005-0000-0000-000002000000}"/>
    <cellStyle name="Comma 2 77" xfId="25" xr:uid="{7B8E27B6-8A86-495C-8070-A1446F52AB74}"/>
    <cellStyle name="Comma 3" xfId="42" xr:uid="{A9B820BC-A81F-4D12-9190-07E19A8F3648}"/>
    <cellStyle name="Currency" xfId="2" builtinId="4"/>
    <cellStyle name="Currency 2" xfId="23" xr:uid="{C3793DF1-1103-41FE-8568-2FC9CF718ABE}"/>
    <cellStyle name="Formula£" xfId="26" xr:uid="{5F6B1FBF-21D5-45BC-A705-D3F77F586C70}"/>
    <cellStyle name="hard no." xfId="27" xr:uid="{FFE2D326-A7E1-4B8D-81D6-75F66AD1D3E7}"/>
    <cellStyle name="Hyperlink 2" xfId="41" xr:uid="{758D82D4-E49B-418A-A876-35FE091A3FBA}"/>
    <cellStyle name="KPMG Heading 1" xfId="28" xr:uid="{82FAD572-55C4-44A0-B290-7610761222FA}"/>
    <cellStyle name="KPMG Heading 2" xfId="29" xr:uid="{015F08F0-C5D4-4AE1-B9A2-7A43EA3E52D5}"/>
    <cellStyle name="KPMG Heading 3" xfId="30" xr:uid="{909775A7-91C6-44D0-AE06-11AE21C565AD}"/>
    <cellStyle name="KPMG Heading 4" xfId="31" xr:uid="{1A21239C-AA6B-4C15-B1B8-09D16A50468D}"/>
    <cellStyle name="KPMG Normal" xfId="32" xr:uid="{FF05DB43-70DA-4B32-9FA2-56AD8D013E26}"/>
    <cellStyle name="KPMG Normal Text" xfId="33" xr:uid="{97C556F5-2B61-4943-BD8B-2BA9973763FE}"/>
    <cellStyle name="Normal" xfId="0" builtinId="0"/>
    <cellStyle name="Normal 13 2" xfId="34" xr:uid="{8B408859-38AC-4F03-8BC8-066E88C5F073}"/>
    <cellStyle name="Normal 2" xfId="6" xr:uid="{00000000-0005-0000-0000-000005000000}"/>
    <cellStyle name="Normal 2 2" xfId="7" xr:uid="{00000000-0005-0000-0000-000006000000}"/>
    <cellStyle name="Normal 2 3" xfId="35" xr:uid="{D3D86A70-E597-4E22-AA36-3711F38602A5}"/>
    <cellStyle name="Normal 3" xfId="8" xr:uid="{00000000-0005-0000-0000-000007000000}"/>
    <cellStyle name="Normal 3 2" xfId="9" xr:uid="{00000000-0005-0000-0000-000008000000}"/>
    <cellStyle name="Normal 3 2 2" xfId="10" xr:uid="{00000000-0005-0000-0000-000009000000}"/>
    <cellStyle name="Normal 3 3" xfId="11" xr:uid="{00000000-0005-0000-0000-00000A000000}"/>
    <cellStyle name="Normal 3 3 2" xfId="12" xr:uid="{00000000-0005-0000-0000-00000B000000}"/>
    <cellStyle name="Normal 3 4" xfId="13" xr:uid="{00000000-0005-0000-0000-00000C000000}"/>
    <cellStyle name="Normal 3 5" xfId="14" xr:uid="{00000000-0005-0000-0000-00000D000000}"/>
    <cellStyle name="Normal 3 6" xfId="15" xr:uid="{00000000-0005-0000-0000-00000E000000}"/>
    <cellStyle name="Normal 3 6 2" xfId="16" xr:uid="{00000000-0005-0000-0000-00000F000000}"/>
    <cellStyle name="Normal 3 7" xfId="17" xr:uid="{00000000-0005-0000-0000-000010000000}"/>
    <cellStyle name="Normal 3 8" xfId="18" xr:uid="{00000000-0005-0000-0000-000011000000}"/>
    <cellStyle name="Normal 3 9" xfId="36" xr:uid="{81178E29-A268-4A3A-8CA5-770FBFAE8907}"/>
    <cellStyle name="Normal 4" xfId="19" xr:uid="{00000000-0005-0000-0000-000012000000}"/>
    <cellStyle name="Normal 4 2" xfId="20" xr:uid="{00000000-0005-0000-0000-000013000000}"/>
    <cellStyle name="Normal 43" xfId="37" xr:uid="{399DD460-1CAB-4069-8032-DEB72456F7C7}"/>
    <cellStyle name="Normal 5" xfId="21" xr:uid="{00000000-0005-0000-0000-000014000000}"/>
    <cellStyle name="Normal 5 2" xfId="38" xr:uid="{52F046C3-4AF4-4A8C-8B95-0E09E371806F}"/>
    <cellStyle name="Per cent" xfId="3" builtinId="5"/>
    <cellStyle name="Percent 2" xfId="22" xr:uid="{00000000-0005-0000-0000-000016000000}"/>
    <cellStyle name="Style 2" xfId="39" xr:uid="{F6B41019-64BB-4C6B-98C3-42DFDDED23CA}"/>
    <cellStyle name="Topline" xfId="40" xr:uid="{B31D3892-6C0F-4FBF-A914-CCBF33D9549E}"/>
  </cellStyles>
  <dxfs count="13">
    <dxf>
      <numFmt numFmtId="167" formatCode="_-* #,##0.00_-;\-* #,##0.00_-;_-* &quot;-&quot;??_-;_-@_-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BF67659-0565-4316-9FCB-FE94425BF977}" type="doc">
      <dgm:prSet loTypeId="urn:microsoft.com/office/officeart/2005/8/layout/chevronAccent+Icon" loCatId="process" qsTypeId="urn:microsoft.com/office/officeart/2005/8/quickstyle/simple1" qsCatId="simple" csTypeId="urn:microsoft.com/office/officeart/2005/8/colors/accent1_2" csCatId="accent1" phldr="1"/>
      <dgm:spPr/>
    </dgm:pt>
    <dgm:pt modelId="{992748E2-5AC5-4300-9248-C4270BE421E1}">
      <dgm:prSet phldrT="[Text]"/>
      <dgm:spPr/>
      <dgm:t>
        <a:bodyPr/>
        <a:lstStyle/>
        <a:p>
          <a:r>
            <a:rPr lang="en-GB" dirty="0"/>
            <a:t>Inpatient Elective Orthopaedic Activity (Home Trusts) and Inpatient and Day case Orthopaedic Activity (Host Trust) (19/20 Baseline) – Provided by CSU</a:t>
          </a:r>
        </a:p>
      </dgm:t>
    </dgm:pt>
    <dgm:pt modelId="{A78ED7C1-6EFA-401F-A6E1-E95DE43ECBFD}" type="parTrans" cxnId="{7E8CB10B-AAEE-4872-9042-A35661856654}">
      <dgm:prSet/>
      <dgm:spPr/>
      <dgm:t>
        <a:bodyPr/>
        <a:lstStyle/>
        <a:p>
          <a:endParaRPr lang="en-GB"/>
        </a:p>
      </dgm:t>
    </dgm:pt>
    <dgm:pt modelId="{E280BD87-0C00-4BE0-8DE9-58473CA09B24}" type="sibTrans" cxnId="{7E8CB10B-AAEE-4872-9042-A35661856654}">
      <dgm:prSet/>
      <dgm:spPr/>
      <dgm:t>
        <a:bodyPr/>
        <a:lstStyle/>
        <a:p>
          <a:endParaRPr lang="en-GB"/>
        </a:p>
      </dgm:t>
    </dgm:pt>
    <dgm:pt modelId="{04568CAC-32F0-4CB0-8721-C268CD0761EA}">
      <dgm:prSet phldrT="[Text]"/>
      <dgm:spPr/>
      <dgm:t>
        <a:bodyPr/>
        <a:lstStyle/>
        <a:p>
          <a:r>
            <a:rPr lang="en-GB" dirty="0"/>
            <a:t>Levelled up average cost of activity as per National Cost Collection (NCC)</a:t>
          </a:r>
        </a:p>
      </dgm:t>
    </dgm:pt>
    <dgm:pt modelId="{8E15A786-F4C7-4FBA-B143-BE25B625F6F1}" type="parTrans" cxnId="{650196BE-7298-47A2-8D14-001854B21D16}">
      <dgm:prSet/>
      <dgm:spPr/>
      <dgm:t>
        <a:bodyPr/>
        <a:lstStyle/>
        <a:p>
          <a:endParaRPr lang="en-GB"/>
        </a:p>
      </dgm:t>
    </dgm:pt>
    <dgm:pt modelId="{BD5AF15F-4638-45E3-8A02-77AB0F59605F}" type="sibTrans" cxnId="{650196BE-7298-47A2-8D14-001854B21D16}">
      <dgm:prSet/>
      <dgm:spPr/>
      <dgm:t>
        <a:bodyPr/>
        <a:lstStyle/>
        <a:p>
          <a:endParaRPr lang="en-GB"/>
        </a:p>
      </dgm:t>
    </dgm:pt>
    <dgm:pt modelId="{4D01BECE-EF99-4659-ADC0-47F74930867A}">
      <dgm:prSet phldrT="[Text]"/>
      <dgm:spPr/>
      <dgm:t>
        <a:bodyPr/>
        <a:lstStyle/>
        <a:p>
          <a:r>
            <a:rPr lang="en-GB" dirty="0"/>
            <a:t>Add back Market Forces Factor (Local % as per NCC – not linked to NHSE guidance) – Restore levelled up unit price to actual 19/20 cost</a:t>
          </a:r>
        </a:p>
      </dgm:t>
    </dgm:pt>
    <dgm:pt modelId="{52E7AA7B-808F-436E-A16D-7B87B97E5FB3}" type="parTrans" cxnId="{0077CA53-10C1-46B4-8FF8-4074E69F95A6}">
      <dgm:prSet/>
      <dgm:spPr/>
      <dgm:t>
        <a:bodyPr/>
        <a:lstStyle/>
        <a:p>
          <a:endParaRPr lang="en-GB"/>
        </a:p>
      </dgm:t>
    </dgm:pt>
    <dgm:pt modelId="{8B6A3615-3C1D-455F-ABB8-1EC5DB9AAC00}" type="sibTrans" cxnId="{0077CA53-10C1-46B4-8FF8-4074E69F95A6}">
      <dgm:prSet/>
      <dgm:spPr/>
      <dgm:t>
        <a:bodyPr/>
        <a:lstStyle/>
        <a:p>
          <a:endParaRPr lang="en-GB"/>
        </a:p>
      </dgm:t>
    </dgm:pt>
    <dgm:pt modelId="{CB5B2275-B66A-43EC-98D1-0E107AE90D5F}">
      <dgm:prSet phldrT="[Text]"/>
      <dgm:spPr/>
      <dgm:t>
        <a:bodyPr/>
        <a:lstStyle/>
        <a:p>
          <a:r>
            <a:rPr lang="en-GB" dirty="0"/>
            <a:t>Add 2 years inflation to align NCC prices to opening year of EOC</a:t>
          </a:r>
        </a:p>
      </dgm:t>
    </dgm:pt>
    <dgm:pt modelId="{51A9687F-C5D6-45C8-B0E2-3E7CFF1FC6D8}" type="parTrans" cxnId="{8E7E5360-914B-4504-9458-183720B24CF4}">
      <dgm:prSet/>
      <dgm:spPr/>
      <dgm:t>
        <a:bodyPr/>
        <a:lstStyle/>
        <a:p>
          <a:endParaRPr lang="en-GB"/>
        </a:p>
      </dgm:t>
    </dgm:pt>
    <dgm:pt modelId="{894BA934-F1B9-4FF9-877E-4BFFD849AA12}" type="sibTrans" cxnId="{8E7E5360-914B-4504-9458-183720B24CF4}">
      <dgm:prSet/>
      <dgm:spPr/>
      <dgm:t>
        <a:bodyPr/>
        <a:lstStyle/>
        <a:p>
          <a:endParaRPr lang="en-GB"/>
        </a:p>
      </dgm:t>
    </dgm:pt>
    <dgm:pt modelId="{37A8D21A-7C89-4237-B8E1-F8C505923A94}" type="pres">
      <dgm:prSet presAssocID="{0BF67659-0565-4316-9FCB-FE94425BF977}" presName="Name0" presStyleCnt="0">
        <dgm:presLayoutVars>
          <dgm:dir/>
          <dgm:resizeHandles val="exact"/>
        </dgm:presLayoutVars>
      </dgm:prSet>
      <dgm:spPr/>
    </dgm:pt>
    <dgm:pt modelId="{3F586517-87F5-4FC7-9E2C-1626CEC1B053}" type="pres">
      <dgm:prSet presAssocID="{992748E2-5AC5-4300-9248-C4270BE421E1}" presName="composite" presStyleCnt="0"/>
      <dgm:spPr/>
    </dgm:pt>
    <dgm:pt modelId="{034630A7-CBEA-4A84-B8BC-DC680EA4D0D9}" type="pres">
      <dgm:prSet presAssocID="{992748E2-5AC5-4300-9248-C4270BE421E1}" presName="bgChev" presStyleLbl="node1" presStyleIdx="0" presStyleCnt="4"/>
      <dgm:spPr/>
    </dgm:pt>
    <dgm:pt modelId="{9E2FD974-330E-460E-B8A1-B073F96ECC32}" type="pres">
      <dgm:prSet presAssocID="{992748E2-5AC5-4300-9248-C4270BE421E1}" presName="txNode" presStyleLbl="fgAcc1" presStyleIdx="0" presStyleCnt="4">
        <dgm:presLayoutVars>
          <dgm:bulletEnabled val="1"/>
        </dgm:presLayoutVars>
      </dgm:prSet>
      <dgm:spPr/>
    </dgm:pt>
    <dgm:pt modelId="{58905DDC-671D-4FE2-9465-AAEEBF9C5F85}" type="pres">
      <dgm:prSet presAssocID="{E280BD87-0C00-4BE0-8DE9-58473CA09B24}" presName="compositeSpace" presStyleCnt="0"/>
      <dgm:spPr/>
    </dgm:pt>
    <dgm:pt modelId="{B43DCE56-1178-4210-A84B-134B28D0A3F7}" type="pres">
      <dgm:prSet presAssocID="{04568CAC-32F0-4CB0-8721-C268CD0761EA}" presName="composite" presStyleCnt="0"/>
      <dgm:spPr/>
    </dgm:pt>
    <dgm:pt modelId="{7CAEF0DE-0670-4667-91CA-2952E6DBEBCE}" type="pres">
      <dgm:prSet presAssocID="{04568CAC-32F0-4CB0-8721-C268CD0761EA}" presName="bgChev" presStyleLbl="node1" presStyleIdx="1" presStyleCnt="4"/>
      <dgm:spPr/>
    </dgm:pt>
    <dgm:pt modelId="{DB93872F-3BF3-49A9-8A00-8D063265CAD5}" type="pres">
      <dgm:prSet presAssocID="{04568CAC-32F0-4CB0-8721-C268CD0761EA}" presName="txNode" presStyleLbl="fgAcc1" presStyleIdx="1" presStyleCnt="4">
        <dgm:presLayoutVars>
          <dgm:bulletEnabled val="1"/>
        </dgm:presLayoutVars>
      </dgm:prSet>
      <dgm:spPr/>
    </dgm:pt>
    <dgm:pt modelId="{9ACE95ED-CE6A-4B06-B8E4-056BB62875FC}" type="pres">
      <dgm:prSet presAssocID="{BD5AF15F-4638-45E3-8A02-77AB0F59605F}" presName="compositeSpace" presStyleCnt="0"/>
      <dgm:spPr/>
    </dgm:pt>
    <dgm:pt modelId="{394A6F56-1EFE-4552-A188-47C00EB73A55}" type="pres">
      <dgm:prSet presAssocID="{4D01BECE-EF99-4659-ADC0-47F74930867A}" presName="composite" presStyleCnt="0"/>
      <dgm:spPr/>
    </dgm:pt>
    <dgm:pt modelId="{F1A80D37-C565-4FE4-A4A9-535CE30EE119}" type="pres">
      <dgm:prSet presAssocID="{4D01BECE-EF99-4659-ADC0-47F74930867A}" presName="bgChev" presStyleLbl="node1" presStyleIdx="2" presStyleCnt="4"/>
      <dgm:spPr/>
    </dgm:pt>
    <dgm:pt modelId="{FCF5F9DE-0E25-4E94-AA55-8DEF2540994D}" type="pres">
      <dgm:prSet presAssocID="{4D01BECE-EF99-4659-ADC0-47F74930867A}" presName="txNode" presStyleLbl="fgAcc1" presStyleIdx="2" presStyleCnt="4">
        <dgm:presLayoutVars>
          <dgm:bulletEnabled val="1"/>
        </dgm:presLayoutVars>
      </dgm:prSet>
      <dgm:spPr/>
    </dgm:pt>
    <dgm:pt modelId="{5E6AE392-207C-4D72-A0BF-FCA304AB8B44}" type="pres">
      <dgm:prSet presAssocID="{8B6A3615-3C1D-455F-ABB8-1EC5DB9AAC00}" presName="compositeSpace" presStyleCnt="0"/>
      <dgm:spPr/>
    </dgm:pt>
    <dgm:pt modelId="{6281F8C8-7100-41E7-A09E-96C0DB0A3B82}" type="pres">
      <dgm:prSet presAssocID="{CB5B2275-B66A-43EC-98D1-0E107AE90D5F}" presName="composite" presStyleCnt="0"/>
      <dgm:spPr/>
    </dgm:pt>
    <dgm:pt modelId="{05DCC6CC-0D02-470B-B8D7-57E14598968E}" type="pres">
      <dgm:prSet presAssocID="{CB5B2275-B66A-43EC-98D1-0E107AE90D5F}" presName="bgChev" presStyleLbl="node1" presStyleIdx="3" presStyleCnt="4"/>
      <dgm:spPr/>
    </dgm:pt>
    <dgm:pt modelId="{BBD6DB78-F183-437F-A6CA-116ADBC68409}" type="pres">
      <dgm:prSet presAssocID="{CB5B2275-B66A-43EC-98D1-0E107AE90D5F}" presName="txNode" presStyleLbl="fgAcc1" presStyleIdx="3" presStyleCnt="4">
        <dgm:presLayoutVars>
          <dgm:bulletEnabled val="1"/>
        </dgm:presLayoutVars>
      </dgm:prSet>
      <dgm:spPr/>
    </dgm:pt>
  </dgm:ptLst>
  <dgm:cxnLst>
    <dgm:cxn modelId="{7E8CB10B-AAEE-4872-9042-A35661856654}" srcId="{0BF67659-0565-4316-9FCB-FE94425BF977}" destId="{992748E2-5AC5-4300-9248-C4270BE421E1}" srcOrd="0" destOrd="0" parTransId="{A78ED7C1-6EFA-401F-A6E1-E95DE43ECBFD}" sibTransId="{E280BD87-0C00-4BE0-8DE9-58473CA09B24}"/>
    <dgm:cxn modelId="{C719F418-ED68-4341-A67D-B64D037D7351}" type="presOf" srcId="{04568CAC-32F0-4CB0-8721-C268CD0761EA}" destId="{DB93872F-3BF3-49A9-8A00-8D063265CAD5}" srcOrd="0" destOrd="0" presId="urn:microsoft.com/office/officeart/2005/8/layout/chevronAccent+Icon"/>
    <dgm:cxn modelId="{8C82AD2C-30FD-4A7C-81FB-36EAC56459A3}" type="presOf" srcId="{CB5B2275-B66A-43EC-98D1-0E107AE90D5F}" destId="{BBD6DB78-F183-437F-A6CA-116ADBC68409}" srcOrd="0" destOrd="0" presId="urn:microsoft.com/office/officeart/2005/8/layout/chevronAccent+Icon"/>
    <dgm:cxn modelId="{0077CA53-10C1-46B4-8FF8-4074E69F95A6}" srcId="{0BF67659-0565-4316-9FCB-FE94425BF977}" destId="{4D01BECE-EF99-4659-ADC0-47F74930867A}" srcOrd="2" destOrd="0" parTransId="{52E7AA7B-808F-436E-A16D-7B87B97E5FB3}" sibTransId="{8B6A3615-3C1D-455F-ABB8-1EC5DB9AAC00}"/>
    <dgm:cxn modelId="{55F72B59-8AB8-408C-8FC8-CFD357107D28}" type="presOf" srcId="{0BF67659-0565-4316-9FCB-FE94425BF977}" destId="{37A8D21A-7C89-4237-B8E1-F8C505923A94}" srcOrd="0" destOrd="0" presId="urn:microsoft.com/office/officeart/2005/8/layout/chevronAccent+Icon"/>
    <dgm:cxn modelId="{8E7E5360-914B-4504-9458-183720B24CF4}" srcId="{0BF67659-0565-4316-9FCB-FE94425BF977}" destId="{CB5B2275-B66A-43EC-98D1-0E107AE90D5F}" srcOrd="3" destOrd="0" parTransId="{51A9687F-C5D6-45C8-B0E2-3E7CFF1FC6D8}" sibTransId="{894BA934-F1B9-4FF9-877E-4BFFD849AA12}"/>
    <dgm:cxn modelId="{71F7AC85-70CB-4424-98BC-8F3C216E48EC}" type="presOf" srcId="{4D01BECE-EF99-4659-ADC0-47F74930867A}" destId="{FCF5F9DE-0E25-4E94-AA55-8DEF2540994D}" srcOrd="0" destOrd="0" presId="urn:microsoft.com/office/officeart/2005/8/layout/chevronAccent+Icon"/>
    <dgm:cxn modelId="{650196BE-7298-47A2-8D14-001854B21D16}" srcId="{0BF67659-0565-4316-9FCB-FE94425BF977}" destId="{04568CAC-32F0-4CB0-8721-C268CD0761EA}" srcOrd="1" destOrd="0" parTransId="{8E15A786-F4C7-4FBA-B143-BE25B625F6F1}" sibTransId="{BD5AF15F-4638-45E3-8A02-77AB0F59605F}"/>
    <dgm:cxn modelId="{E10CF1E9-3259-42CC-918C-A3DB06E0024A}" type="presOf" srcId="{992748E2-5AC5-4300-9248-C4270BE421E1}" destId="{9E2FD974-330E-460E-B8A1-B073F96ECC32}" srcOrd="0" destOrd="0" presId="urn:microsoft.com/office/officeart/2005/8/layout/chevronAccent+Icon"/>
    <dgm:cxn modelId="{A3F7C77B-3250-4B3E-812A-86D7B03CFC27}" type="presParOf" srcId="{37A8D21A-7C89-4237-B8E1-F8C505923A94}" destId="{3F586517-87F5-4FC7-9E2C-1626CEC1B053}" srcOrd="0" destOrd="0" presId="urn:microsoft.com/office/officeart/2005/8/layout/chevronAccent+Icon"/>
    <dgm:cxn modelId="{60E60BCA-63C8-4814-A34F-F923EABD46C5}" type="presParOf" srcId="{3F586517-87F5-4FC7-9E2C-1626CEC1B053}" destId="{034630A7-CBEA-4A84-B8BC-DC680EA4D0D9}" srcOrd="0" destOrd="0" presId="urn:microsoft.com/office/officeart/2005/8/layout/chevronAccent+Icon"/>
    <dgm:cxn modelId="{C826411E-D132-49C8-BE57-F1BD4E7E99FF}" type="presParOf" srcId="{3F586517-87F5-4FC7-9E2C-1626CEC1B053}" destId="{9E2FD974-330E-460E-B8A1-B073F96ECC32}" srcOrd="1" destOrd="0" presId="urn:microsoft.com/office/officeart/2005/8/layout/chevronAccent+Icon"/>
    <dgm:cxn modelId="{B89B14E3-193C-4F61-BF65-E87EC69F384C}" type="presParOf" srcId="{37A8D21A-7C89-4237-B8E1-F8C505923A94}" destId="{58905DDC-671D-4FE2-9465-AAEEBF9C5F85}" srcOrd="1" destOrd="0" presId="urn:microsoft.com/office/officeart/2005/8/layout/chevronAccent+Icon"/>
    <dgm:cxn modelId="{449C7EEE-6DE6-4E67-BFF6-07DD33A8CDB7}" type="presParOf" srcId="{37A8D21A-7C89-4237-B8E1-F8C505923A94}" destId="{B43DCE56-1178-4210-A84B-134B28D0A3F7}" srcOrd="2" destOrd="0" presId="urn:microsoft.com/office/officeart/2005/8/layout/chevronAccent+Icon"/>
    <dgm:cxn modelId="{E5299B5C-66AF-4EC1-A1BB-3F190B94903C}" type="presParOf" srcId="{B43DCE56-1178-4210-A84B-134B28D0A3F7}" destId="{7CAEF0DE-0670-4667-91CA-2952E6DBEBCE}" srcOrd="0" destOrd="0" presId="urn:microsoft.com/office/officeart/2005/8/layout/chevronAccent+Icon"/>
    <dgm:cxn modelId="{2107DAE8-0E96-4018-BAE8-AE44A86941A0}" type="presParOf" srcId="{B43DCE56-1178-4210-A84B-134B28D0A3F7}" destId="{DB93872F-3BF3-49A9-8A00-8D063265CAD5}" srcOrd="1" destOrd="0" presId="urn:microsoft.com/office/officeart/2005/8/layout/chevronAccent+Icon"/>
    <dgm:cxn modelId="{C355CBC2-56A8-46F9-8146-C3D7777BD63A}" type="presParOf" srcId="{37A8D21A-7C89-4237-B8E1-F8C505923A94}" destId="{9ACE95ED-CE6A-4B06-B8E4-056BB62875FC}" srcOrd="3" destOrd="0" presId="urn:microsoft.com/office/officeart/2005/8/layout/chevronAccent+Icon"/>
    <dgm:cxn modelId="{6ADD310A-9FD2-4C8B-8B22-E396E082D940}" type="presParOf" srcId="{37A8D21A-7C89-4237-B8E1-F8C505923A94}" destId="{394A6F56-1EFE-4552-A188-47C00EB73A55}" srcOrd="4" destOrd="0" presId="urn:microsoft.com/office/officeart/2005/8/layout/chevronAccent+Icon"/>
    <dgm:cxn modelId="{954074DB-218C-416F-9A7D-2DD3B47502EA}" type="presParOf" srcId="{394A6F56-1EFE-4552-A188-47C00EB73A55}" destId="{F1A80D37-C565-4FE4-A4A9-535CE30EE119}" srcOrd="0" destOrd="0" presId="urn:microsoft.com/office/officeart/2005/8/layout/chevronAccent+Icon"/>
    <dgm:cxn modelId="{F6D4E93C-6B23-4EF3-9819-FE3B183FE2A1}" type="presParOf" srcId="{394A6F56-1EFE-4552-A188-47C00EB73A55}" destId="{FCF5F9DE-0E25-4E94-AA55-8DEF2540994D}" srcOrd="1" destOrd="0" presId="urn:microsoft.com/office/officeart/2005/8/layout/chevronAccent+Icon"/>
    <dgm:cxn modelId="{025CDB77-57EB-44F9-BC4C-A597F93FE0AB}" type="presParOf" srcId="{37A8D21A-7C89-4237-B8E1-F8C505923A94}" destId="{5E6AE392-207C-4D72-A0BF-FCA304AB8B44}" srcOrd="5" destOrd="0" presId="urn:microsoft.com/office/officeart/2005/8/layout/chevronAccent+Icon"/>
    <dgm:cxn modelId="{405194F6-709B-474F-B303-30B74A440A73}" type="presParOf" srcId="{37A8D21A-7C89-4237-B8E1-F8C505923A94}" destId="{6281F8C8-7100-41E7-A09E-96C0DB0A3B82}" srcOrd="6" destOrd="0" presId="urn:microsoft.com/office/officeart/2005/8/layout/chevronAccent+Icon"/>
    <dgm:cxn modelId="{E3767376-1011-474F-B1EA-AE6D20B2A1AB}" type="presParOf" srcId="{6281F8C8-7100-41E7-A09E-96C0DB0A3B82}" destId="{05DCC6CC-0D02-470B-B8D7-57E14598968E}" srcOrd="0" destOrd="0" presId="urn:microsoft.com/office/officeart/2005/8/layout/chevronAccent+Icon"/>
    <dgm:cxn modelId="{EF3154EB-D58A-4429-8A28-43C6116F39A5}" type="presParOf" srcId="{6281F8C8-7100-41E7-A09E-96C0DB0A3B82}" destId="{BBD6DB78-F183-437F-A6CA-116ADBC68409}" srcOrd="1" destOrd="0" presId="urn:microsoft.com/office/officeart/2005/8/layout/chevronAccent+Icon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34630A7-CBEA-4A84-B8BC-DC680EA4D0D9}">
      <dsp:nvSpPr>
        <dsp:cNvPr id="0" name=""/>
        <dsp:cNvSpPr/>
      </dsp:nvSpPr>
      <dsp:spPr>
        <a:xfrm>
          <a:off x="6388" y="2147506"/>
          <a:ext cx="3006776" cy="1160615"/>
        </a:xfrm>
        <a:prstGeom prst="chevron">
          <a:avLst>
            <a:gd name="adj" fmla="val 4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E2FD974-330E-460E-B8A1-B073F96ECC32}">
      <dsp:nvSpPr>
        <dsp:cNvPr id="0" name=""/>
        <dsp:cNvSpPr/>
      </dsp:nvSpPr>
      <dsp:spPr>
        <a:xfrm>
          <a:off x="808195" y="2437660"/>
          <a:ext cx="2539055" cy="116061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200" kern="1200" dirty="0"/>
            <a:t>Inpatient Elective Orthopaedic Activity (Home Trusts) and Inpatient and Day case Orthopaedic Activity (Host Trust) (19/20 Baseline) – Provided by CSU</a:t>
          </a:r>
        </a:p>
      </dsp:txBody>
      <dsp:txXfrm>
        <a:off x="842188" y="2471653"/>
        <a:ext cx="2471069" cy="1092629"/>
      </dsp:txXfrm>
    </dsp:sp>
    <dsp:sp modelId="{7CAEF0DE-0670-4667-91CA-2952E6DBEBCE}">
      <dsp:nvSpPr>
        <dsp:cNvPr id="0" name=""/>
        <dsp:cNvSpPr/>
      </dsp:nvSpPr>
      <dsp:spPr>
        <a:xfrm>
          <a:off x="3440794" y="2147506"/>
          <a:ext cx="3006776" cy="1160615"/>
        </a:xfrm>
        <a:prstGeom prst="chevron">
          <a:avLst>
            <a:gd name="adj" fmla="val 4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B93872F-3BF3-49A9-8A00-8D063265CAD5}">
      <dsp:nvSpPr>
        <dsp:cNvPr id="0" name=""/>
        <dsp:cNvSpPr/>
      </dsp:nvSpPr>
      <dsp:spPr>
        <a:xfrm>
          <a:off x="4242601" y="2437660"/>
          <a:ext cx="2539055" cy="116061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200" kern="1200" dirty="0"/>
            <a:t>Levelled up average cost of activity as per National Cost Collection (NCC)</a:t>
          </a:r>
        </a:p>
      </dsp:txBody>
      <dsp:txXfrm>
        <a:off x="4276594" y="2471653"/>
        <a:ext cx="2471069" cy="1092629"/>
      </dsp:txXfrm>
    </dsp:sp>
    <dsp:sp modelId="{F1A80D37-C565-4FE4-A4A9-535CE30EE119}">
      <dsp:nvSpPr>
        <dsp:cNvPr id="0" name=""/>
        <dsp:cNvSpPr/>
      </dsp:nvSpPr>
      <dsp:spPr>
        <a:xfrm>
          <a:off x="6875201" y="2147506"/>
          <a:ext cx="3006776" cy="1160615"/>
        </a:xfrm>
        <a:prstGeom prst="chevron">
          <a:avLst>
            <a:gd name="adj" fmla="val 4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CF5F9DE-0E25-4E94-AA55-8DEF2540994D}">
      <dsp:nvSpPr>
        <dsp:cNvPr id="0" name=""/>
        <dsp:cNvSpPr/>
      </dsp:nvSpPr>
      <dsp:spPr>
        <a:xfrm>
          <a:off x="7677008" y="2437660"/>
          <a:ext cx="2539055" cy="116061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200" kern="1200" dirty="0"/>
            <a:t>Add back Market Forces Factor (Local % as per NCC – not linked to NHSE guidance) – Restore levelled up unit price to actual 19/20 cost</a:t>
          </a:r>
        </a:p>
      </dsp:txBody>
      <dsp:txXfrm>
        <a:off x="7711001" y="2471653"/>
        <a:ext cx="2471069" cy="1092629"/>
      </dsp:txXfrm>
    </dsp:sp>
    <dsp:sp modelId="{05DCC6CC-0D02-470B-B8D7-57E14598968E}">
      <dsp:nvSpPr>
        <dsp:cNvPr id="0" name=""/>
        <dsp:cNvSpPr/>
      </dsp:nvSpPr>
      <dsp:spPr>
        <a:xfrm>
          <a:off x="10309607" y="2147506"/>
          <a:ext cx="3006776" cy="1160615"/>
        </a:xfrm>
        <a:prstGeom prst="chevron">
          <a:avLst>
            <a:gd name="adj" fmla="val 4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BD6DB78-F183-437F-A6CA-116ADBC68409}">
      <dsp:nvSpPr>
        <dsp:cNvPr id="0" name=""/>
        <dsp:cNvSpPr/>
      </dsp:nvSpPr>
      <dsp:spPr>
        <a:xfrm>
          <a:off x="11111414" y="2437660"/>
          <a:ext cx="2539055" cy="116061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1200" kern="1200" dirty="0"/>
            <a:t>Add 2 years inflation to align NCC prices to opening year of EOC</a:t>
          </a:r>
        </a:p>
      </dsp:txBody>
      <dsp:txXfrm>
        <a:off x="11145407" y="2471653"/>
        <a:ext cx="2471069" cy="109262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Accent+Icon">
  <dgm:title val="Chevron Accent Process"/>
  <dgm:desc val="Use to show sequential steps in a task, process, or workflow, or to emphasize movement or direction. Works best with minimal Level 1 and Level 2 text."/>
  <dgm:catLst>
    <dgm:cat type="process" pri="9500"/>
    <dgm:cat type="officeonline" pri="2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" refType="w"/>
      <dgm:constr type="primFontSz" for="des" forName="txNode" op="equ" val="65"/>
      <dgm:constr type="w" for="ch" forName="compositeSpace" refType="w" refFor="ch" refForName="composite" fact="0.028"/>
    </dgm:constrLst>
    <dgm:ruleLst/>
    <dgm:forEach name="Name4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5">
          <dgm:if name="Name6" func="var" arg="dir" op="equ" val="norm">
            <dgm:constrLst>
              <dgm:constr type="l" for="ch" forName="bgChev"/>
              <dgm:constr type="w" for="ch" forName="bgChev" refType="w" fact="0.9"/>
              <dgm:constr type="t" for="ch" forName="bgChev"/>
              <dgm:constr type="h" for="ch" forName="bgChev" refType="w" refFor="ch" refForName="bgChev" fact="0.386"/>
              <dgm:constr type="l" for="ch" forName="txNode" refType="w" fact="0.24"/>
              <dgm:constr type="w" for="ch" forName="txNode" refType="w" fact="0.76"/>
              <dgm:constr type="t" for="ch" forName="txNode" refType="h" refFor="ch" refForName="bgChev" fact="0.25"/>
              <dgm:constr type="h" for="ch" forName="txNode" refType="h" refFor="ch" refForName="bgChev"/>
            </dgm:constrLst>
          </dgm:if>
          <dgm:else name="Name7">
            <dgm:constrLst>
              <dgm:constr type="l" for="ch" forName="bgChev" refType="w" fact="0.1"/>
              <dgm:constr type="w" for="ch" forName="bgChev" refType="w" fact="0.9"/>
              <dgm:constr type="t" for="ch" forName="bgChev"/>
              <dgm:constr type="h" for="ch" forName="bgChev" refType="w" refFor="ch" refForName="bgChev" fact="0.386"/>
              <dgm:constr type="l" for="ch" forName="txNode"/>
              <dgm:constr type="w" for="ch" forName="txNode" refType="w" fact="0.76"/>
              <dgm:constr type="t" for="ch" forName="txNode" refType="h" refFor="ch" refForName="bgChev" fact="0.25"/>
              <dgm:constr type="h" for="ch" forName="txNode" refType="h" refFor="ch" refForName="bgChev"/>
            </dgm:constrLst>
          </dgm:else>
        </dgm:choose>
        <dgm:ruleLst/>
        <dgm:layoutNode name="bgChev" styleLbl="node1">
          <dgm:alg type="sp"/>
          <dgm:choose name="Name8">
            <dgm:if name="Name9" func="var" arg="dir" op="equ" val="norm">
              <dgm:shape xmlns:r="http://schemas.openxmlformats.org/officeDocument/2006/relationships" type="chevron" r:blip="">
                <dgm:adjLst>
                  <dgm:adj idx="1" val="0.4"/>
                </dgm:adjLst>
              </dgm:shape>
            </dgm:if>
            <dgm:else name="Name10">
              <dgm:shape xmlns:r="http://schemas.openxmlformats.org/officeDocument/2006/relationships" rot="180" type="chevron" r:blip="">
                <dgm:adjLst>
                  <dgm:adj idx="1" val="0.4"/>
                </dgm:adjLst>
              </dgm:shape>
            </dgm:else>
          </dgm:choose>
          <dgm:presOf/>
          <dgm:constrLst/>
        </dgm:layoutNode>
        <dgm:layoutNode name="txNode" styleLbl="fgAcc1">
          <dgm:varLst>
            <dgm:bulletEnabled val="1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desOrSelf" ptType="node"/>
          <dgm:ruleLst>
            <dgm:rule type="primFontSz" val="5" fact="NaN" max="NaN"/>
          </dgm:ruleLst>
        </dgm:layoutNode>
      </dgm:layoutNode>
      <dgm:forEach name="Name11" axis="followSib" ptType="sibTrans" cnt="1">
        <dgm:layoutNode name="compositeSpace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19</xdr:row>
      <xdr:rowOff>85725</xdr:rowOff>
    </xdr:from>
    <xdr:to>
      <xdr:col>17</xdr:col>
      <xdr:colOff>391708</xdr:colOff>
      <xdr:row>57</xdr:row>
      <xdr:rowOff>40307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386E762-895D-41F9-B6A0-439BF98F0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17</xdr:col>
      <xdr:colOff>1</xdr:colOff>
      <xdr:row>11</xdr:row>
      <xdr:rowOff>153267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363200" cy="22487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_Shared/FinDFM/Wendy/Surgery/Elective%20Orthopaedic%20Centre%20NWL%202021/Working%20Files%20for%20DMBC/Copy%20of%20DMBC%20Refreshed%20Orthopaedic%20Hub%20Financial%20Appendices%2008_02_23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endyHa/AppData/Local/Microsoft/Windows/INetCache/Content.Outlook/7B7BM3JI/Book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Finance_Shared/FinDFM/Wendy/Surgery/Elective%20Orthopaedic%20Centre%20NWL%202021/Finance%20Task%20and%20Finish%20Group/January%2023%20Workstream%20Meetings/17th%20January/Total%20Income%20&amp;%20Non%20Pay%20Analysis%2013_1_23.xlsx?2C2C8979" TargetMode="External"/><Relationship Id="rId1" Type="http://schemas.openxmlformats.org/officeDocument/2006/relationships/externalLinkPath" Target="file:///2C2C8979/Total%20Income%20&amp;%20Non%20Pay%20Analysis%2013_1_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_Shared/FinDFM/Wendy/Surgery/Elective%20Orthopaedic%20Centre%20NWL%202021/Working%20Files%20for%20DMBC/DMBC%20Refreshed%20Orthopaedic%20Hub%20Financial%20Appendices%2008_02_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endyHa/Desktop/Copy%20of%20Appx%201%20-%20VFM%20Model%20-%20LNWH%20(R1K)%20EOC%20TIF%20bid%2022-23%20V4%20W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2. Standing data"/>
      <sheetName val="1. Instructions"/>
      <sheetName val="3. Summary"/>
      <sheetName val="4. Revenue"/>
      <sheetName val="5. Capital"/>
      <sheetName val="6. Economic (DCF)"/>
      <sheetName val="7c. Capital Charges"/>
      <sheetName val="7a. Income and Activity"/>
      <sheetName val="7b. Activity Phasing"/>
      <sheetName val="7c. Validated Activity &amp; £"/>
      <sheetName val="8a. National Cost Collection v2"/>
      <sheetName val="8b. Residual Overhead Costs"/>
      <sheetName val="Sheet1"/>
      <sheetName val="Sheet4"/>
      <sheetName val="9a. Workforce"/>
      <sheetName val="9b. Workforce Phasing"/>
      <sheetName val="9c. Workforce Summary"/>
      <sheetName val="8a. Sensitivity Optimism Bias"/>
      <sheetName val="8b. Sensitivity Inner London"/>
      <sheetName val="8d. Sensitivity LOS"/>
      <sheetName val="8c. Sensitivity Temp Staffing"/>
      <sheetName val="8e. Sensitivity Average Theatre"/>
      <sheetName val="8f. Sensitivity Scale"/>
      <sheetName val="Sheet3"/>
      <sheetName val="Sheet2"/>
      <sheetName val="9a. VFM Assessment Cost"/>
      <sheetName val="9b. VFM Costs"/>
      <sheetName val="9c. VFM Incremental Activit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3">
          <cell r="J63">
            <v>27645.23519831699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9a. Workforce"/>
    </sheetNames>
    <sheetDataSet>
      <sheetData sheetId="0">
        <row r="3">
          <cell r="A3" t="str">
            <v>Row Labels</v>
          </cell>
          <cell r="B3" t="str">
            <v>Sum of Total LNWH Year One Budget WTE</v>
          </cell>
        </row>
        <row r="4">
          <cell r="A4" t="str">
            <v>Admin &amp; Clerical</v>
          </cell>
          <cell r="B4">
            <v>8.2672000000000008</v>
          </cell>
        </row>
        <row r="5">
          <cell r="A5" t="str">
            <v>Allied Health Professionals</v>
          </cell>
          <cell r="B5">
            <v>9.2033333333333331</v>
          </cell>
        </row>
        <row r="6">
          <cell r="A6" t="str">
            <v>Consultant</v>
          </cell>
          <cell r="B6">
            <v>15.168986919971241</v>
          </cell>
        </row>
        <row r="7">
          <cell r="A7" t="str">
            <v>Management</v>
          </cell>
          <cell r="B7">
            <v>0.9</v>
          </cell>
        </row>
        <row r="8">
          <cell r="A8" t="str">
            <v>Medical Other</v>
          </cell>
          <cell r="B8">
            <v>16.056926829268292</v>
          </cell>
        </row>
        <row r="9">
          <cell r="A9" t="str">
            <v>Nursing</v>
          </cell>
          <cell r="B9">
            <v>108.02599466666666</v>
          </cell>
        </row>
        <row r="10">
          <cell r="A10" t="str">
            <v>Pharmacists</v>
          </cell>
          <cell r="B10">
            <v>0.96499999999999997</v>
          </cell>
        </row>
        <row r="11">
          <cell r="A11" t="str">
            <v>Grand Total</v>
          </cell>
          <cell r="B11">
            <v>158.58744174923953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Income &amp; Non Pay Analysis"/>
    </sheetNames>
    <sheetDataSet>
      <sheetData sheetId="0">
        <row r="2">
          <cell r="C2">
            <v>6296.74</v>
          </cell>
          <cell r="D2">
            <v>803.4105668249274</v>
          </cell>
          <cell r="F2">
            <v>6433.1574180231964</v>
          </cell>
          <cell r="G2">
            <v>6460.9727358991877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2. Standing data"/>
      <sheetName val="1. Instructions"/>
      <sheetName val="3. Summary"/>
      <sheetName val="4. Revenue"/>
      <sheetName val="5. Capital"/>
      <sheetName val="6. Economic (DCF)"/>
      <sheetName val="7c. Capital Charges"/>
      <sheetName val="7a. Income and Activity"/>
      <sheetName val="7b. Activity Phasing"/>
      <sheetName val="7c. Validated Activity &amp; £"/>
      <sheetName val="8a. National Cost Collection"/>
      <sheetName val="8b. Residual Overhead Costs"/>
      <sheetName val="Sheet1"/>
      <sheetName val="9a. Workforce"/>
      <sheetName val="9b. Workforce Phasing"/>
      <sheetName val="9c. Workforce Summary"/>
      <sheetName val="8a. Sensitivity Optimism Bias"/>
      <sheetName val="8b. Sensitivity Inner London"/>
      <sheetName val="8d. Sensitivity LOS"/>
      <sheetName val="8c. Sensitivity Temp Staffing"/>
      <sheetName val="8e. Sensitivity Average Theatre"/>
      <sheetName val="8f. Sensitivity Scale"/>
      <sheetName val="Sheet3"/>
      <sheetName val="Sheet2"/>
      <sheetName val="9a. VFM Assessment Cost"/>
      <sheetName val="9b. VFM Costs"/>
      <sheetName val="9c. VFM Incremental Ac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B12">
            <v>7641</v>
          </cell>
        </row>
        <row r="13">
          <cell r="B13">
            <v>7345</v>
          </cell>
        </row>
        <row r="14">
          <cell r="B14">
            <v>6557</v>
          </cell>
        </row>
        <row r="15">
          <cell r="B15">
            <v>6807</v>
          </cell>
        </row>
        <row r="16">
          <cell r="B16">
            <v>2411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FM assessment&gt;&gt;&gt;"/>
      <sheetName val="Economic Summary"/>
      <sheetName val="Financial Summary"/>
      <sheetName val="Costs"/>
      <sheetName val="Monetisable Benefits"/>
      <sheetName val="Unmonetisable Benefits"/>
      <sheetName val="Unmonetisable Risks"/>
      <sheetName val="Inflation assumptions"/>
    </sheetNames>
    <sheetDataSet>
      <sheetData sheetId="0"/>
      <sheetData sheetId="1"/>
      <sheetData sheetId="2"/>
      <sheetData sheetId="3">
        <row r="4">
          <cell r="F4" t="str">
            <v>2022</v>
          </cell>
          <cell r="G4">
            <v>2023</v>
          </cell>
          <cell r="H4">
            <v>2024</v>
          </cell>
          <cell r="I4">
            <v>2025</v>
          </cell>
          <cell r="J4">
            <v>2026</v>
          </cell>
          <cell r="K4">
            <v>2027</v>
          </cell>
          <cell r="L4">
            <v>2028</v>
          </cell>
          <cell r="M4">
            <v>2029</v>
          </cell>
          <cell r="N4">
            <v>2030</v>
          </cell>
          <cell r="O4">
            <v>2031</v>
          </cell>
          <cell r="P4">
            <v>2032</v>
          </cell>
        </row>
      </sheetData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ndy Harrowell" refreshedDate="44967.924346874999" createdVersion="7" refreshedVersion="7" minRefreshableVersion="3" recordCount="86" xr:uid="{8C759DDC-7282-4808-A64C-320AE48B5301}">
  <cacheSource type="worksheet">
    <worksheetSource ref="A4:O90" sheet="9b. Workforce Phasing"/>
  </cacheSource>
  <cacheFields count="15">
    <cacheField name="Service Line" numFmtId="0">
      <sharedItems/>
    </cacheField>
    <cacheField name="Expenditure Type" numFmtId="0">
      <sharedItems/>
    </cacheField>
    <cacheField name="Subjective" numFmtId="0">
      <sharedItems count="7">
        <s v="Nursing"/>
        <s v="Consultant"/>
        <s v="Pharmacists"/>
        <s v="Medical Other"/>
        <s v="Allied Health Professionals"/>
        <s v="Admin &amp; Clerical"/>
        <s v="Management"/>
      </sharedItems>
    </cacheField>
    <cacheField name="Account Code" numFmtId="0">
      <sharedItems/>
    </cacheField>
    <cacheField name="Role" numFmtId="0">
      <sharedItems/>
    </cacheField>
    <cacheField name="23/24 Average WTE" numFmtId="167">
      <sharedItems containsSemiMixedTypes="0" containsString="0" containsNumber="1" minValue="0" maxValue="14.561743777777778"/>
    </cacheField>
    <cacheField name="23/24  Annual Cost £ '000" numFmtId="166">
      <sharedItems containsSemiMixedTypes="0" containsString="0" containsNumber="1" minValue="0" maxValue="1006.4361002926827"/>
    </cacheField>
    <cacheField name="24/25 Average WTE" numFmtId="167">
      <sharedItems containsSemiMixedTypes="0" containsString="0" containsNumber="1" minValue="0" maxValue="28.206400000000002"/>
    </cacheField>
    <cacheField name="24/25  Annual Cost £ '000" numFmtId="166">
      <sharedItems containsSemiMixedTypes="0" containsString="0" containsNumber="1" minValue="0" maxValue="1619.04736"/>
    </cacheField>
    <cacheField name="25/26 Average WTE" numFmtId="167">
      <sharedItems containsSemiMixedTypes="0" containsString="0" containsNumber="1" minValue="0" maxValue="28.206400000000002"/>
    </cacheField>
    <cacheField name="25/26  Annual Cost £ '000" numFmtId="166">
      <sharedItems containsSemiMixedTypes="0" containsString="0" containsNumber="1" minValue="0" maxValue="1654.66640192"/>
    </cacheField>
    <cacheField name="26/27 Average WTE" numFmtId="167">
      <sharedItems containsSemiMixedTypes="0" containsString="0" containsNumber="1" minValue="0" maxValue="28.206400000000002"/>
    </cacheField>
    <cacheField name="26/27  Annual Cost £ '000" numFmtId="166">
      <sharedItems containsSemiMixedTypes="0" containsString="0" containsNumber="1" minValue="0" maxValue="1691.06906276224"/>
    </cacheField>
    <cacheField name="27/28 Average WTE" numFmtId="167">
      <sharedItems containsSemiMixedTypes="0" containsString="0" containsNumber="1" minValue="0" maxValue="28.206400000000002"/>
    </cacheField>
    <cacheField name="27/28  Annual Cost £ '000" numFmtId="166">
      <sharedItems containsSemiMixedTypes="0" containsString="0" containsNumber="1" minValue="0" maxValue="1728.27258214300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s v="Pre Operative Assessment"/>
    <s v="Pay"/>
    <x v="0"/>
    <s v="Substantive Nursing Band 6"/>
    <s v="Pre-Op Assessment Nurse"/>
    <n v="2.4408675555555557"/>
    <n v="124.48424533333332"/>
    <n v="2.642287928888889"/>
    <n v="134.75668437333334"/>
    <n v="2.6845645357511114"/>
    <n v="139.87743837952002"/>
    <n v="2.7328866973946315"/>
    <n v="145.47253591470081"/>
    <n v="2.7793457712503402"/>
    <n v="151.14596481537413"/>
  </r>
  <r>
    <s v="Pre Operative Assessment"/>
    <s v="Pay"/>
    <x v="0"/>
    <s v="Substantive Nursing Band 2"/>
    <s v="Pre-Op Investigations HCA"/>
    <n v="1.2204337777777778"/>
    <n v="37.345273600000013"/>
    <n v="1.3211439644444445"/>
    <n v="40.427005312000006"/>
    <n v="1.3422822678755557"/>
    <n v="41.963231513856009"/>
    <n v="1.3664433486973158"/>
    <n v="43.641760774410251"/>
    <n v="1.3896728856251701"/>
    <n v="45.343789444612248"/>
  </r>
  <r>
    <s v="Pre Operative Assessment"/>
    <s v="Pay"/>
    <x v="1"/>
    <s v="Anaesthetist (POA)"/>
    <s v="Anaesthetist"/>
    <n v="1.0367205215419502"/>
    <n v="120.60237732291665"/>
    <n v="1.1222706916099774"/>
    <n v="134.45364020833333"/>
    <n v="1.1402270226757369"/>
    <n v="139.56287853625"/>
    <n v="1.1607511090839002"/>
    <n v="145.14539367770001"/>
    <n v="1.1804838779383264"/>
    <n v="150.80606403113029"/>
  </r>
  <r>
    <s v="Theatre Assessment Unit"/>
    <s v="Pay"/>
    <x v="0"/>
    <s v="Substantive Nursing Band 6"/>
    <s v="TAU Qualified Nurse"/>
    <n v="0.9002365555555556"/>
    <n v="50.68331807777777"/>
    <n v="1.3090666666666668"/>
    <n v="73.700453333333343"/>
    <n v="1.3300117333333334"/>
    <n v="76.501070560000016"/>
    <n v="1.3539519445333335"/>
    <n v="79.561113382400023"/>
    <n v="1.3769691275903999"/>
    <n v="82.663996804313612"/>
  </r>
  <r>
    <s v="Theatre Assessment Unit"/>
    <s v="Pay"/>
    <x v="0"/>
    <s v="Substantive Nursing Band 5"/>
    <s v="TAU Qualified Nurse"/>
    <n v="4.9437663333333326"/>
    <n v="206.1550561"/>
    <n v="10.783199999999999"/>
    <n v="449.65943999999996"/>
    <n v="10.955731199999999"/>
    <n v="466.74649871999998"/>
    <n v="11.1529343616"/>
    <n v="485.4163586688"/>
    <n v="11.342534245747199"/>
    <n v="504.34759665688318"/>
  </r>
  <r>
    <s v="Theatre Assessment Unit"/>
    <s v="Pay"/>
    <x v="0"/>
    <s v="Substantive Nursing Band 2"/>
    <s v="TAU Unqualified Nurse"/>
    <n v="1.2743359999999999"/>
    <n v="39.759283199999999"/>
    <n v="2.8544"/>
    <n v="89.057280000000006"/>
    <n v="2.9000704000000002"/>
    <n v="92.441456640000013"/>
    <n v="2.9522716672000002"/>
    <n v="96.13911490560001"/>
    <n v="3.0024602855424001"/>
    <n v="99.888540386918407"/>
  </r>
  <r>
    <s v="Recovery"/>
    <s v="Pay"/>
    <x v="0"/>
    <s v="Substantive Nursing Band 6"/>
    <s v="Recovery Nurse"/>
    <n v="11.167596111111113"/>
    <n v="42.184166666666663"/>
    <n v="18.764133333333334"/>
    <n v="45.4"/>
    <n v="18.764133333333334"/>
    <n v="46.398800000000001"/>
    <n v="18.764133333333334"/>
    <n v="47.4195736"/>
    <n v="18.764133333333334"/>
    <n v="48.462804219200002"/>
  </r>
  <r>
    <s v="Theatre Staffing"/>
    <s v="Pay"/>
    <x v="0"/>
    <s v="Substantive Nursing Band 7"/>
    <s v="ODA"/>
    <n v="6.0150066666666664"/>
    <n v="369.92290999999994"/>
    <n v="10.736000000000001"/>
    <n v="660.26400000000001"/>
    <n v="10.736000000000001"/>
    <n v="674.78980799999999"/>
    <n v="10.736000000000001"/>
    <n v="689.63518377599996"/>
    <n v="10.736000000000001"/>
    <n v="704.80715781907202"/>
  </r>
  <r>
    <s v="Theatre Staffing"/>
    <s v="Pay"/>
    <x v="0"/>
    <s v="Substantive Nursing Band 6"/>
    <s v="Scrub Nurse and Theatre Coordinator"/>
    <n v="14.561743777777778"/>
    <n v="783.25667062222215"/>
    <n v="28.206400000000002"/>
    <n v="1619.04736"/>
    <n v="28.206400000000002"/>
    <n v="1654.66640192"/>
    <n v="28.206400000000002"/>
    <n v="1691.06906276224"/>
    <n v="28.206400000000002"/>
    <n v="1728.2725821430095"/>
  </r>
  <r>
    <s v="Theatre Staffing"/>
    <s v="Pay"/>
    <x v="0"/>
    <s v="Substantive Nursing Band 2"/>
    <s v="Theatre Support Worker"/>
    <n v="6.4875533333333326"/>
    <n v="198.61961933333333"/>
    <n v="12.687999999999999"/>
    <n v="397.13439999999997"/>
    <n v="12.687999999999999"/>
    <n v="405.8713568"/>
    <n v="12.687999999999999"/>
    <n v="414.80052664959999"/>
    <n v="12.687999999999999"/>
    <n v="423.92613823589119"/>
  </r>
  <r>
    <s v="Pharmacy"/>
    <s v="Pay"/>
    <x v="2"/>
    <s v="Substantive Pharmacist Band 8a"/>
    <s v="Pharmacist "/>
    <n v="1.0956666666666668"/>
    <n v="68.616066666666654"/>
    <n v="1.8399999999999999"/>
    <n v="107.824"/>
    <n v="1.86944"/>
    <n v="111.921312"/>
    <n v="1.90308992"/>
    <n v="116.39816448000001"/>
    <n v="1.9354424486399997"/>
    <n v="120.93769289472"/>
  </r>
  <r>
    <s v="Enhanced Care Unit"/>
    <s v="Pay"/>
    <x v="1"/>
    <s v="Consultant"/>
    <s v="Intensivist"/>
    <n v="0.83493750000000011"/>
    <n v="113.45806403437254"/>
    <n v="0.91500000000000004"/>
    <n v="128.05108591269843"/>
    <n v="0.91500000000000004"/>
    <n v="130.86820980277778"/>
    <n v="0.91500000000000004"/>
    <n v="133.7473104184389"/>
    <n v="0.91500000000000004"/>
    <n v="136.68975124764455"/>
  </r>
  <r>
    <s v="Enhanced Care Unit"/>
    <s v="Pay"/>
    <x v="3"/>
    <s v="SpR"/>
    <s v="Critical Care SpR"/>
    <n v="1.18625"/>
    <n v="102.07683622500002"/>
    <n v="1.3"/>
    <n v="115.20600000000002"/>
    <n v="1.3"/>
    <n v="117.74053200000002"/>
    <n v="1.3"/>
    <n v="120.33082370400003"/>
    <n v="1.3"/>
    <n v="122.97810182548803"/>
  </r>
  <r>
    <s v="Enhanced Care Unit"/>
    <s v="Pay"/>
    <x v="0"/>
    <s v="Substantive Nursing Band 7"/>
    <s v="Critical Care Nurse Qualified"/>
    <n v="1.2090625000000002"/>
    <n v="71.092874999999992"/>
    <n v="1.325"/>
    <n v="77.91"/>
    <n v="1.325"/>
    <n v="79.624020000000002"/>
    <n v="1.325"/>
    <n v="81.37574844000001"/>
    <n v="1.325"/>
    <n v="83.166014905680015"/>
  </r>
  <r>
    <s v="Enhanced Care Unit"/>
    <s v="Pay"/>
    <x v="0"/>
    <s v="Substantive Nursing Band 6"/>
    <s v="Critical Care Nurse Qualified"/>
    <n v="2.6234375000000001"/>
    <n v="156.356875"/>
    <n v="2.875"/>
    <n v="171.35"/>
    <n v="2.875"/>
    <n v="175.11969999999999"/>
    <n v="2.875"/>
    <n v="178.9723334"/>
    <n v="2.875"/>
    <n v="182.90972473479999"/>
  </r>
  <r>
    <s v="Enhanced Care Unit"/>
    <s v="Pay"/>
    <x v="0"/>
    <s v="Substantive Nursing Band 5"/>
    <s v="Critical Care Nurse Qualified"/>
    <n v="2.600625"/>
    <n v="117.80831249999999"/>
    <n v="2.85"/>
    <n v="129.10499999999999"/>
    <n v="2.85"/>
    <n v="131.94530999999998"/>
    <n v="2.85"/>
    <n v="134.84810681999997"/>
    <n v="2.85"/>
    <n v="137.81476517003998"/>
  </r>
  <r>
    <s v="Enhanced Care Unit"/>
    <s v="Pay"/>
    <x v="0"/>
    <s v="Substantive Nursing Band 2"/>
    <s v="Critical Care Nurse Unqualified"/>
    <n v="1.18625"/>
    <n v="44.12850000000001"/>
    <n v="1.3"/>
    <n v="48.360000000000007"/>
    <n v="1.3"/>
    <n v="49.42392000000001"/>
    <n v="1.3"/>
    <n v="50.511246240000013"/>
    <n v="1.3"/>
    <n v="51.62249365728001"/>
  </r>
  <r>
    <s v="Enhanced Care Unit"/>
    <s v="Pay"/>
    <x v="4"/>
    <s v="Substantive Physiotherapist B7"/>
    <s v="Physiotherapist"/>
    <n v="0.22812500000000002"/>
    <n v="13.41375"/>
    <n v="0.25"/>
    <n v="14.7"/>
    <n v="0.25"/>
    <n v="15.023399999999999"/>
    <n v="0.25"/>
    <n v="15.353914799999998"/>
    <n v="0.25"/>
    <n v="15.691700925599999"/>
  </r>
  <r>
    <s v="Enhanced Care Unit"/>
    <s v="Pay"/>
    <x v="2"/>
    <s v="Substantive Pharmacist Band 8a"/>
    <s v="Pharmacist "/>
    <n v="0.11406250000000001"/>
    <n v="7.3403124999999996"/>
    <n v="0.125"/>
    <n v="7.3250000000000002"/>
    <n v="0.125"/>
    <n v="7.4861500000000003"/>
    <n v="0.125"/>
    <n v="7.6508453000000003"/>
    <n v="0.125"/>
    <n v="7.8191638966000001"/>
  </r>
  <r>
    <s v="Pain Team"/>
    <s v="Pay"/>
    <x v="0"/>
    <s v="Substantive Nursing Band 6"/>
    <s v="Pain Nurse"/>
    <n v="1.4354666666666667"/>
    <n v="69.476586666666662"/>
    <n v="2.464"/>
    <n v="119.2576"/>
    <n v="2.5034239999999999"/>
    <n v="123.7893888"/>
    <n v="2.5484856319999998"/>
    <n v="128.74096435199999"/>
    <n v="2.5918098877439997"/>
    <n v="133.76186196172799"/>
  </r>
  <r>
    <s v="Therapies"/>
    <s v="Pay"/>
    <x v="4"/>
    <s v="Substantive Occ Therapist B7"/>
    <s v="Occupational Therapist"/>
    <n v="0.34583333333333327"/>
    <n v="20.334999999999997"/>
    <n v="1"/>
    <n v="58.8"/>
    <n v="1.016"/>
    <n v="61.034399999999998"/>
    <n v="1.0342880000000001"/>
    <n v="63.475776000000003"/>
    <n v="1.0518708960000001"/>
    <n v="65.951331264000004"/>
  </r>
  <r>
    <s v="Therapies"/>
    <s v="Pay"/>
    <x v="4"/>
    <s v="Substantive Occ Therapist B5"/>
    <s v="Occupational Therapist"/>
    <n v="0.9291666666666667"/>
    <n v="54.542083333333338"/>
    <n v="1"/>
    <n v="58.7"/>
    <n v="1.016"/>
    <n v="60.930600000000005"/>
    <n v="1.0342880000000001"/>
    <n v="63.367824000000006"/>
    <n v="1.0518708960000001"/>
    <n v="65.839169135999995"/>
  </r>
  <r>
    <s v="Therapies"/>
    <s v="Pay"/>
    <x v="4"/>
    <s v="Substantive Physiotherapist B7"/>
    <s v="Physiotherapist"/>
    <n v="1.2369583333333334"/>
    <n v="72.733149999999995"/>
    <n v="1.89"/>
    <n v="111.13199999999999"/>
    <n v="1.9202399999999999"/>
    <n v="115.35501599999999"/>
    <n v="1.95480432"/>
    <n v="119.96921664"/>
    <n v="1.9880359934399998"/>
    <n v="124.64801608895999"/>
  </r>
  <r>
    <s v="Therapies"/>
    <s v="Pay"/>
    <x v="4"/>
    <s v="Substantive Physiotherapist B6"/>
    <s v="Physiotherapist"/>
    <n v="2.6583333333333332"/>
    <n v="128.66333333333333"/>
    <n v="6"/>
    <n v="290.39999999999998"/>
    <n v="6.0960000000000001"/>
    <n v="301.43520000000001"/>
    <n v="6.2057280000000006"/>
    <n v="313.49260800000002"/>
    <n v="6.3112253760000003"/>
    <n v="325.71881971199997"/>
  </r>
  <r>
    <s v="Therapies"/>
    <s v="Pay"/>
    <x v="4"/>
    <s v="Substantive Physiotherapist B5"/>
    <s v="Physiotherapist"/>
    <n v="1.2749999999999999"/>
    <n v="74.842500000000001"/>
    <n v="2"/>
    <n v="117.4"/>
    <n v="2.032"/>
    <n v="121.86120000000001"/>
    <n v="2.0685760000000002"/>
    <n v="126.73564800000001"/>
    <n v="2.1037417920000001"/>
    <n v="131.67833827199999"/>
  </r>
  <r>
    <s v="Therapies"/>
    <s v="Pay"/>
    <x v="4"/>
    <s v="Substantive Physiotherapist B4"/>
    <s v="Physiotherapist"/>
    <n v="1.9911249999999998"/>
    <n v="69.092037500000004"/>
    <n v="2.8899999999999997"/>
    <n v="100.283"/>
    <n v="2.9362399999999997"/>
    <n v="104.093754"/>
    <n v="2.9890923199999997"/>
    <n v="108.25750416000001"/>
    <n v="3.0399068894399992"/>
    <n v="112.47954682224"/>
  </r>
  <r>
    <s v="Therapies"/>
    <s v="Pay"/>
    <x v="4"/>
    <s v="Substantive Physiotherapist B8a"/>
    <s v="Physiotherapist"/>
    <n v="0.34583333333333327"/>
    <n v="20.265833333333333"/>
    <n v="1"/>
    <n v="58.6"/>
    <n v="1.016"/>
    <n v="60.826800000000006"/>
    <n v="1.0342880000000001"/>
    <n v="63.259872000000009"/>
    <n v="1.0518708960000001"/>
    <n v="65.727007008000001"/>
  </r>
  <r>
    <s v="Radiology"/>
    <s v="Pay"/>
    <x v="4"/>
    <s v="Substantive Radiographer B7"/>
    <s v="Radiographer"/>
    <n v="1.5114444444444444"/>
    <n v="88.872933333333322"/>
    <n v="1.6266666666666667"/>
    <n v="95.647999999999996"/>
    <n v="1.6526933333333333"/>
    <n v="99.282623999999998"/>
    <n v="1.6824418133333334"/>
    <n v="103.25392896"/>
    <n v="1.7110433241599998"/>
    <n v="107.28083218943999"/>
  </r>
  <r>
    <s v="Radiology"/>
    <s v="Pay"/>
    <x v="4"/>
    <s v="Substantive Radiographer B6"/>
    <s v="Radiographer"/>
    <n v="2.7771944444444445"/>
    <n v="134.4162111111111"/>
    <n v="5.2866666666666671"/>
    <n v="255.87466666666668"/>
    <n v="5.3712533333333337"/>
    <n v="265.59790400000003"/>
    <n v="5.4679358933333342"/>
    <n v="276.22182016000005"/>
    <n v="5.5608908035200004"/>
    <n v="286.99447114624002"/>
  </r>
  <r>
    <s v="Radiology"/>
    <s v="Pay"/>
    <x v="1"/>
    <s v="Consultant"/>
    <s v="Radiologist"/>
    <n v="0.60339285714285706"/>
    <n v="78.076847699999973"/>
    <n v="0.98571428571428565"/>
    <n v="134.136"/>
    <n v="1.0014857142857143"/>
    <n v="139.23316800000001"/>
    <n v="1.0195124571428571"/>
    <n v="144.80249472"/>
    <n v="1.0368441689142855"/>
    <n v="150.44979201407997"/>
  </r>
  <r>
    <s v="Radiology"/>
    <s v="Pay"/>
    <x v="5"/>
    <s v="Substantive A And C Band 5"/>
    <s v="Radiology Admin"/>
    <n v="2.0611899999999999"/>
    <n v="79.768053000000009"/>
    <n v="3.3672"/>
    <n v="130.31064000000001"/>
    <n v="3.4210752000000002"/>
    <n v="135.26244432000001"/>
    <n v="3.4826545536000002"/>
    <n v="140.67294209280001"/>
    <n v="3.5418596810112"/>
    <n v="146.15918683441922"/>
  </r>
  <r>
    <s v="Radiology"/>
    <s v="Pay"/>
    <x v="5"/>
    <s v="Substantive A And C Band 3"/>
    <s v="Radiology Admin"/>
    <n v="2.2526666666666664"/>
    <n v="73.887466666666654"/>
    <n v="3.6799999999999997"/>
    <n v="120.70399999999998"/>
    <n v="3.73888"/>
    <n v="125.29075199999998"/>
    <n v="3.80617984"/>
    <n v="130.30238208"/>
    <n v="3.8708848972799994"/>
    <n v="135.38417498112"/>
  </r>
  <r>
    <s v="Medical and Medical Support Staffing"/>
    <s v="Pay"/>
    <x v="3"/>
    <s v="SPR (Ward)"/>
    <s v="Orthopaedic SpR"/>
    <n v="0.9198291666666667"/>
    <n v="77.110020491583327"/>
    <n v="1.2809999999999999"/>
    <n v="113.52222"/>
    <n v="1.2809999999999999"/>
    <n v="116.01970884000001"/>
    <n v="1.2809999999999999"/>
    <n v="118.57214243448001"/>
    <n v="1.2809999999999999"/>
    <n v="121.18072956803857"/>
  </r>
  <r>
    <s v="Medical and Medical Support Staffing"/>
    <s v="Pay"/>
    <x v="3"/>
    <s v="SHO (Ward)"/>
    <s v="Orthopaedic SHO"/>
    <n v="1.1132499999999999"/>
    <n v="73.620949333750005"/>
    <n v="1.22"/>
    <n v="85.698900000000009"/>
    <n v="1.22"/>
    <n v="87.584275800000015"/>
    <n v="1.22"/>
    <n v="89.511129867600019"/>
    <n v="1.22"/>
    <n v="91.480374724687223"/>
  </r>
  <r>
    <s v="Medical and Medical Support Staffing"/>
    <s v="Pay"/>
    <x v="0"/>
    <s v="Substantive Nursing Band 8a (Advance Nurse Practitioner)"/>
    <s v="Surgical Advance Nurse Practitioner"/>
    <n v="4.0201033333333331"/>
    <n v="245.39905533333337"/>
    <n v="8.8978666666666655"/>
    <n v="521.41498666666666"/>
    <n v="8.8978666666666655"/>
    <n v="532.88611637333338"/>
    <n v="8.8978666666666655"/>
    <n v="544.60961093354672"/>
    <n v="8.8978666666666655"/>
    <n v="556.59102237408479"/>
  </r>
  <r>
    <s v="Medical and Medical Support Staffing"/>
    <s v="Pay"/>
    <x v="4"/>
    <s v="Substantive Physiotherapist B7 (Ward)"/>
    <s v="Physiotherapist"/>
    <n v="0.32916666666666666"/>
    <n v="19.355"/>
    <n v="1"/>
    <n v="58.8"/>
    <n v="1"/>
    <n v="60.093599999999995"/>
    <n v="1"/>
    <n v="61.415659199999993"/>
    <n v="1"/>
    <n v="62.766803702399997"/>
  </r>
  <r>
    <s v="Medical and Medical Support Staffing"/>
    <s v="Pay"/>
    <x v="1"/>
    <s v="Surgeon (Theatres Consultant)"/>
    <s v="Orthopaedic Consultant"/>
    <n v="7.7929539295392951"/>
    <n v="1006.4361002926827"/>
    <n v="11.837398373983739"/>
    <n v="1610.833170731707"/>
    <n v="11.837398373983739"/>
    <n v="1646.2715004878046"/>
    <n v="11.837398373983739"/>
    <n v="1682.4894734985364"/>
    <n v="11.837398373983739"/>
    <n v="1719.5042419155043"/>
  </r>
  <r>
    <s v="Medical and Medical Support Staffing"/>
    <s v="Pay"/>
    <x v="3"/>
    <s v="SPR (Theatres)"/>
    <s v="Orthopaedic SpR"/>
    <n v="7.7929539295392951"/>
    <n v="655.42597889430897"/>
    <n v="11.837398373983739"/>
    <n v="1049.030243902439"/>
    <n v="11.837398373983739"/>
    <n v="1072.1089092682926"/>
    <n v="11.837398373983739"/>
    <n v="1095.6953052721951"/>
    <n v="11.837398373983739"/>
    <n v="1119.8006019881834"/>
  </r>
  <r>
    <s v="Medical and Medical Support Staffing"/>
    <s v="Pay"/>
    <x v="3"/>
    <s v="SPR (Theatres)"/>
    <s v="Anaesthetic SpR"/>
    <n v="7.7929539295392951"/>
    <n v="655.42597889430897"/>
    <n v="11.837398373983739"/>
    <n v="1049.030243902439"/>
    <n v="11.837398373983739"/>
    <n v="1072.1089092682926"/>
    <n v="11.837398373983739"/>
    <n v="1095.6953052721951"/>
    <n v="11.837398373983739"/>
    <n v="1119.8006019881834"/>
  </r>
  <r>
    <s v="Medical and Medical Support Staffing"/>
    <s v="Pay"/>
    <x v="1"/>
    <s v="Anaesthetist (Theatres Consultant)"/>
    <s v="Anaesthetist"/>
    <n v="7.7929539295392951"/>
    <n v="1006.4361002926827"/>
    <n v="11.837398373983739"/>
    <n v="1610.833170731707"/>
    <n v="11.837398373983739"/>
    <n v="1646.2715004878046"/>
    <n v="11.837398373983739"/>
    <n v="1682.4894734985364"/>
    <n v="11.837398373983739"/>
    <n v="1719.5042419155043"/>
  </r>
  <r>
    <s v="Inpatient Ward "/>
    <s v="Pay"/>
    <x v="0"/>
    <s v="Substantive Nursing Band 2"/>
    <s v="Unqualified Ward Nurse"/>
    <n v="1.6359583333333334"/>
    <n v="58.567308333333322"/>
    <n v="7.1"/>
    <n v="254.17999999999998"/>
    <n v="7.1"/>
    <n v="259.77195999999998"/>
    <n v="7.1"/>
    <n v="265.48694311999998"/>
    <n v="7.1"/>
    <n v="271.32765586863997"/>
  </r>
  <r>
    <s v="Inpatient Ward "/>
    <s v="Pay"/>
    <x v="0"/>
    <s v="Substantive Nursing Band 3"/>
    <s v="Unqualified Ward Nurse"/>
    <n v="0.87558333333333316"/>
    <n v="31.713628333333329"/>
    <n v="3.8"/>
    <n v="137.636"/>
    <n v="3.8"/>
    <n v="140.66399200000001"/>
    <n v="3.8"/>
    <n v="143.75859982400002"/>
    <n v="3.8"/>
    <n v="146.92128902012803"/>
  </r>
  <r>
    <s v="Inpatient Ward "/>
    <s v="Pay"/>
    <x v="0"/>
    <s v="Substantive Nursing Band 4"/>
    <s v="Unqualified Ward Nurse"/>
    <n v="0.27649999999999997"/>
    <n v="9.5945499999999999"/>
    <n v="1.2"/>
    <n v="41.64"/>
    <n v="1.2"/>
    <n v="42.556080000000001"/>
    <n v="1.2"/>
    <n v="43.492313760000002"/>
    <n v="1.2"/>
    <n v="44.449144662720002"/>
  </r>
  <r>
    <s v="Inpatient Ward "/>
    <s v="Pay"/>
    <x v="0"/>
    <s v="Substantive Nursing Band 5"/>
    <s v="Qualified Ward Nurse"/>
    <n v="4.8387500000000001"/>
    <n v="215.80825000000004"/>
    <n v="21"/>
    <n v="936.6"/>
    <n v="21"/>
    <n v="957.20519999999999"/>
    <n v="21"/>
    <n v="978.26371440000003"/>
    <n v="21"/>
    <n v="999.78551611680007"/>
  </r>
  <r>
    <s v="Inpatient Ward "/>
    <s v="Pay"/>
    <x v="0"/>
    <s v="Substantive Nursing Band 6"/>
    <s v="Qualified Ward Nurse"/>
    <n v="1.1981666666666668"/>
    <n v="69.733300000000014"/>
    <n v="5.2"/>
    <n v="302.64000000000004"/>
    <n v="5.2"/>
    <n v="309.29808000000003"/>
    <n v="5.2"/>
    <n v="316.10263776000005"/>
    <n v="5.2"/>
    <n v="323.05689579072003"/>
  </r>
  <r>
    <s v="Inpatient Ward "/>
    <s v="Pay"/>
    <x v="0"/>
    <s v="Substantive Nursing Band 7"/>
    <s v="Ward Manager"/>
    <n v="0.46083333333333332"/>
    <n v="27.096999999999998"/>
    <n v="2"/>
    <n v="117.6"/>
    <n v="2"/>
    <n v="120.18719999999999"/>
    <n v="2"/>
    <n v="122.83131839999999"/>
    <n v="2"/>
    <n v="125.53360740479999"/>
  </r>
  <r>
    <s v="Inpatient Ward "/>
    <s v="Pay"/>
    <x v="0"/>
    <s v="Substantive Nursing Band 8a"/>
    <s v="Matron"/>
    <n v="0.27649999999999997"/>
    <n v="18.691399999999998"/>
    <n v="1.2"/>
    <n v="81.11999999999999"/>
    <n v="1.2"/>
    <n v="82.904639999999986"/>
    <n v="1.2"/>
    <n v="84.728542079999983"/>
    <n v="1.2"/>
    <n v="86.592570005759981"/>
  </r>
  <r>
    <s v="Post Anaesthetic Care Unit"/>
    <s v="Pay"/>
    <x v="0"/>
    <s v="Substantive Nursing Band 7"/>
    <s v="PACU Nurse Qualified"/>
    <n v="0.61060416666666673"/>
    <n v="35.903525000000002"/>
    <n v="2.65"/>
    <n v="155.82"/>
    <n v="2.65"/>
    <n v="159.24804"/>
    <n v="2.65"/>
    <n v="162.75149688000002"/>
    <n v="2.65"/>
    <n v="166.33202981136003"/>
  </r>
  <r>
    <s v="Post Anaesthetic Care Unit"/>
    <s v="Pay"/>
    <x v="0"/>
    <s v="Substantive Nursing Band 6"/>
    <s v="PACU Nurse Qualified"/>
    <n v="1.3248958333333334"/>
    <n v="78.963791666666651"/>
    <n v="5.75"/>
    <n v="342.7"/>
    <n v="5.75"/>
    <n v="350.23939999999999"/>
    <n v="5.75"/>
    <n v="357.94466679999999"/>
    <n v="5.75"/>
    <n v="365.81944946959999"/>
  </r>
  <r>
    <s v="Post Anaesthetic Care Unit"/>
    <s v="Pay"/>
    <x v="0"/>
    <s v="Substantive Nursing Band 5"/>
    <s v="PACU Nurse Qualified"/>
    <n v="1.313375"/>
    <n v="59.495887499999995"/>
    <n v="5.7"/>
    <n v="258.20999999999998"/>
    <n v="5.7"/>
    <n v="263.89061999999996"/>
    <n v="5.7"/>
    <n v="269.69621363999994"/>
    <n v="5.7"/>
    <n v="275.62953034007995"/>
  </r>
  <r>
    <s v="Post Anaesthetic Care Unit"/>
    <s v="Pay"/>
    <x v="0"/>
    <s v="Substantive Nursing Band 2"/>
    <s v="PACU Nurse Unqualified"/>
    <n v="0.59908333333333341"/>
    <n v="22.285900000000005"/>
    <n v="2.6"/>
    <n v="96.720000000000013"/>
    <n v="2.6"/>
    <n v="98.847840000000019"/>
    <n v="2.6"/>
    <n v="101.02249248000003"/>
    <n v="2.6"/>
    <n v="103.24498731456002"/>
  </r>
  <r>
    <s v="Post Anaesthetic Care Unit"/>
    <s v="Pay"/>
    <x v="4"/>
    <s v="Substantive Physiotherapist B7"/>
    <s v="Physiotherapist"/>
    <n v="0.11520833333333333"/>
    <n v="6.7742499999999994"/>
    <n v="0.5"/>
    <n v="29.4"/>
    <n v="0.5"/>
    <n v="30.046799999999998"/>
    <n v="0.5"/>
    <n v="30.707829599999997"/>
    <n v="0.5"/>
    <n v="31.383401851199999"/>
  </r>
  <r>
    <s v="Post Anaesthetic Care Unit"/>
    <s v="Pay"/>
    <x v="2"/>
    <s v="Substantive Pharmacist Band 8a"/>
    <s v="Pharmacist "/>
    <n v="5.7604166666666665E-2"/>
    <n v="3.3756041666666672"/>
    <n v="0.25"/>
    <n v="14.65"/>
    <n v="0.25"/>
    <n v="14.972300000000001"/>
    <n v="0.25"/>
    <n v="15.301690600000001"/>
    <n v="0.25"/>
    <n v="15.6383277932"/>
  </r>
  <r>
    <s v="Inpatient Ward "/>
    <s v="Pay"/>
    <x v="0"/>
    <s v="Substantive Nursing Band 2"/>
    <s v="Unqualified Ward Nurse"/>
    <n v="7.9204412181241333"/>
    <n v="283.55179560884392"/>
    <n v="10.475694255873272"/>
    <n v="375.02985436026307"/>
    <n v="10.475694255873272"/>
    <n v="383.28051115618888"/>
    <n v="10.475694255873272"/>
    <n v="391.71268240162505"/>
    <n v="10.475694255873272"/>
    <n v="400.33036141446081"/>
  </r>
  <r>
    <s v="Inpatient Ward "/>
    <s v="Pay"/>
    <x v="0"/>
    <s v="Substantive Nursing Band 4"/>
    <s v="Unqualified Ward Nurse"/>
    <n v="0"/>
    <n v="0"/>
    <n v="0"/>
    <n v="0"/>
    <n v="0"/>
    <n v="0"/>
    <n v="0"/>
    <n v="0"/>
    <n v="0"/>
    <n v="0"/>
  </r>
  <r>
    <s v="Inpatient Ward "/>
    <s v="Pay"/>
    <x v="0"/>
    <s v="Substantive Nursing Band 5"/>
    <s v="Qualified Ward Nurse"/>
    <n v="11.714906387634359"/>
    <n v="522.48482488849243"/>
    <n v="21.171383960800107"/>
    <n v="944.24372465168483"/>
    <n v="21.171383960800107"/>
    <n v="965.01708659402186"/>
    <n v="21.171383960800107"/>
    <n v="986.24746249909037"/>
    <n v="21.171383960800107"/>
    <n v="1007.9449066740704"/>
  </r>
  <r>
    <s v="Inpatient Ward "/>
    <s v="Pay"/>
    <x v="0"/>
    <s v="Substantive Nursing Band 6"/>
    <s v="Qualified Ward Nurse"/>
    <n v="4.2122206090620669"/>
    <n v="245.15123944741234"/>
    <n v="5.2378471279366359"/>
    <n v="304.84270284591224"/>
    <n v="5.2378471279366359"/>
    <n v="311.54924230852231"/>
    <n v="5.2378471279366359"/>
    <n v="318.4033256393098"/>
    <n v="5.2378471279366359"/>
    <n v="325.4081988033746"/>
  </r>
  <r>
    <s v="Inpatient Ward "/>
    <s v="Pay"/>
    <x v="0"/>
    <s v="Substantive Nursing Band 7"/>
    <s v="Ward Manager"/>
    <n v="0.81374999999999997"/>
    <n v="47.848499999999994"/>
    <n v="1"/>
    <n v="58.8"/>
    <n v="1"/>
    <n v="60.093599999999995"/>
    <n v="1"/>
    <n v="61.415659199999993"/>
    <n v="1"/>
    <n v="62.766803702399997"/>
  </r>
  <r>
    <s v="Inpatient Ward "/>
    <s v="Pay"/>
    <x v="0"/>
    <s v="Substantive Nursing Band 8a"/>
    <s v="Matron"/>
    <n v="0.40687499999999999"/>
    <n v="27.504749999999998"/>
    <n v="0.5"/>
    <n v="33.799999999999997"/>
    <n v="0.5"/>
    <n v="34.543599999999998"/>
    <n v="0.5"/>
    <n v="35.303559199999995"/>
    <n v="0.5"/>
    <n v="36.080237502399996"/>
  </r>
  <r>
    <s v="Day Care Ward"/>
    <s v="Pay"/>
    <x v="0"/>
    <s v="Substantive Nursing Band 2"/>
    <s v="Unqualified Ward Nurse"/>
    <n v="6.7343999999999991"/>
    <n v="210.78671999999995"/>
    <n v="6.7343999999999991"/>
    <n v="210.78671999999997"/>
    <n v="6.8421503999999995"/>
    <n v="218.79661535999998"/>
    <n v="6.9653091071999995"/>
    <n v="227.54847997439998"/>
    <n v="7.083719362022399"/>
    <n v="236.42287069340156"/>
  </r>
  <r>
    <s v="Day Care Ward"/>
    <s v="Pay"/>
    <x v="0"/>
    <s v="Substantive Nursing Band 5"/>
    <s v="Qualified Ward Nurse"/>
    <n v="8.9792000000000005"/>
    <n v="378.9222400000001"/>
    <n v="8.9792000000000005"/>
    <n v="378.92224000000004"/>
    <n v="9.1228672"/>
    <n v="393.32128512000008"/>
    <n v="9.2870788096000005"/>
    <n v="409.05413652480013"/>
    <n v="9.4449591493631999"/>
    <n v="425.00724784926729"/>
  </r>
  <r>
    <s v="Day Care Ward"/>
    <s v="Pay"/>
    <x v="0"/>
    <s v="Substantive Nursing Band 6"/>
    <s v="Qualified Ward Nurse"/>
    <n v="6.7343999999999991"/>
    <n v="325.94495999999992"/>
    <n v="6.7343999999999991"/>
    <n v="325.94495999999992"/>
    <n v="6.8421503999999995"/>
    <n v="338.33086847999994"/>
    <n v="6.9653091071999995"/>
    <n v="351.86410321919993"/>
    <n v="7.083719362022399"/>
    <n v="365.58680324474869"/>
  </r>
  <r>
    <s v="Day Care Ward"/>
    <s v="Pay"/>
    <x v="0"/>
    <s v="Substantive Nursing Band 7"/>
    <s v="Ward Manager"/>
    <n v="1"/>
    <n v="58.5"/>
    <n v="1"/>
    <n v="58.5"/>
    <n v="1.016"/>
    <n v="60.722999999999999"/>
    <n v="1.0342880000000001"/>
    <n v="63.151920000000004"/>
    <n v="1.0518708960000001"/>
    <n v="65.614844879999993"/>
  </r>
  <r>
    <s v="Management and Admin"/>
    <s v="Pay"/>
    <x v="0"/>
    <s v="Substantive Nursing Band 7"/>
    <s v="Orthopaedic Nurse Specialist"/>
    <n v="1"/>
    <n v="58.8"/>
    <n v="2"/>
    <n v="117.6"/>
    <n v="2"/>
    <n v="120.18719999999999"/>
    <n v="2"/>
    <n v="122.83131839999999"/>
    <n v="2"/>
    <n v="125.53360740479999"/>
  </r>
  <r>
    <s v="Management and Admin"/>
    <s v="Pay"/>
    <x v="1"/>
    <s v="Consultant"/>
    <s v="Clinical Lead"/>
    <n v="5.8333333333333341E-2"/>
    <n v="7.3407599999999995"/>
    <n v="0"/>
    <n v="0"/>
    <n v="0"/>
    <n v="0"/>
    <n v="0"/>
    <n v="0"/>
    <n v="0"/>
    <n v="0"/>
  </r>
  <r>
    <s v="Management and Admin"/>
    <s v="Pay"/>
    <x v="6"/>
    <s v="Substantive Management Band 8a"/>
    <s v="Assistant General Manager"/>
    <n v="0.17500000000000002"/>
    <n v="11.829999999999998"/>
    <n v="0"/>
    <n v="0"/>
    <n v="0"/>
    <n v="0"/>
    <n v="0"/>
    <n v="0"/>
    <n v="0"/>
    <n v="0"/>
  </r>
  <r>
    <s v="Management and Admin"/>
    <s v="Pay"/>
    <x v="6"/>
    <s v="Substantive Management Band 6"/>
    <s v="Assistant Service Manager"/>
    <n v="0.70833333333333337"/>
    <n v="34.283333333333331"/>
    <n v="1"/>
    <n v="48.4"/>
    <n v="1"/>
    <n v="49.464799999999997"/>
    <n v="1"/>
    <n v="50.553025599999998"/>
    <n v="1"/>
    <n v="51.665192163199997"/>
  </r>
  <r>
    <s v="Management and Admin"/>
    <s v="Pay"/>
    <x v="5"/>
    <s v="Substantive A And C Band 4"/>
    <s v="Schedulers"/>
    <n v="5.45275"/>
    <n v="189.21042500000004"/>
    <n v="9.02"/>
    <n v="312.99400000000003"/>
    <n v="9.02"/>
    <n v="319.87986800000004"/>
    <n v="9.02"/>
    <n v="326.91722509600004"/>
    <n v="9.02"/>
    <n v="334.10940404811203"/>
  </r>
  <r>
    <s v="Management and Admin"/>
    <s v="Pay"/>
    <x v="5"/>
    <s v="Substantive A And C Band 4"/>
    <s v="Ordering "/>
    <n v="0.59715000000000007"/>
    <n v="20.721105000000001"/>
    <n v="1.052"/>
    <n v="36.504400000000004"/>
    <n v="1.052"/>
    <n v="37.307496800000003"/>
    <n v="1.052"/>
    <n v="38.128261729600005"/>
    <n v="1.052"/>
    <n v="38.967083487651209"/>
  </r>
  <r>
    <s v="Management and Admin"/>
    <s v="Pay"/>
    <x v="5"/>
    <s v="Substantive A and C Band 5"/>
    <s v="Rota Coordinator"/>
    <n v="0.81751041666666668"/>
    <n v="31.637653125"/>
    <n v="1.2675000000000001"/>
    <n v="49.052250000000008"/>
    <n v="1.2675000000000001"/>
    <n v="50.131399500000008"/>
    <n v="1.2675000000000001"/>
    <n v="51.234290289000008"/>
    <n v="1.2675000000000001"/>
    <n v="52.361444675358008"/>
  </r>
  <r>
    <s v="Management and Admin"/>
    <s v="Pay"/>
    <x v="0"/>
    <s v="Substantive Nursing Band 8d"/>
    <s v="Head of Nursing"/>
    <n v="0.30000000000000004"/>
    <n v="32.22"/>
    <n v="0.3"/>
    <n v="32.22"/>
    <n v="0.3"/>
    <n v="32.928840000000001"/>
    <n v="0.3"/>
    <n v="33.65327448"/>
    <n v="0.3"/>
    <n v="34.393646518560004"/>
  </r>
  <r>
    <s v="Management and Admin"/>
    <s v="Pay"/>
    <x v="0"/>
    <s v="Substantive Nursing Band 8a"/>
    <s v="Matron - Inpatient Care "/>
    <n v="0.4"/>
    <n v="23.44"/>
    <n v="0.4"/>
    <n v="23.44"/>
    <n v="0.4"/>
    <n v="23.955680000000001"/>
    <n v="0.4"/>
    <n v="24.482704960000003"/>
    <n v="0.4"/>
    <n v="25.021324469120003"/>
  </r>
  <r>
    <s v="Management and Admin"/>
    <s v="Pay"/>
    <x v="0"/>
    <s v="Substantive Nursing Band 8a"/>
    <s v="Matron - POA"/>
    <n v="0.15000000000000002"/>
    <n v="8.7899999999999991"/>
    <n v="0.15"/>
    <n v="8.7899999999999991"/>
    <n v="0.15"/>
    <n v="8.9833799999999986"/>
    <n v="0.15"/>
    <n v="9.1810143599999989"/>
    <n v="0.15"/>
    <n v="9.3829966759199994"/>
  </r>
  <r>
    <s v="Management and Admin"/>
    <s v="Pay"/>
    <x v="0"/>
    <s v="Substantive Nursing Band 8a"/>
    <s v="Matron - Theatres"/>
    <n v="1"/>
    <n v="58.599999999999994"/>
    <n v="1"/>
    <n v="58.6"/>
    <n v="1"/>
    <n v="59.889200000000002"/>
    <n v="1"/>
    <n v="61.206762400000002"/>
    <n v="1"/>
    <n v="62.553311172800001"/>
  </r>
  <r>
    <s v="Management and Admin"/>
    <s v="Pay"/>
    <x v="6"/>
    <s v="Substantive Management Band 9"/>
    <s v="Managing Director"/>
    <n v="0.41666666666666669"/>
    <n v="54.083333333333336"/>
    <n v="1"/>
    <n v="129.80000000000001"/>
    <n v="1"/>
    <n v="132.65560000000002"/>
    <n v="1"/>
    <n v="135.57402320000003"/>
    <n v="1"/>
    <n v="138.55665171040002"/>
  </r>
  <r>
    <s v="Management and Admin"/>
    <s v="Pay"/>
    <x v="6"/>
    <s v="Substantive Management Band 9"/>
    <s v="Divisional General Manager"/>
    <n v="5.8333333333333341E-2"/>
    <n v="7.5716666666666681"/>
    <n v="0"/>
    <n v="0"/>
    <n v="0"/>
    <n v="0"/>
    <n v="0"/>
    <n v="0"/>
    <n v="0"/>
    <n v="0"/>
  </r>
  <r>
    <s v="Management and Admin"/>
    <s v="Pay"/>
    <x v="0"/>
    <s v="Substantive Nursing Band 8d"/>
    <s v="Divisional Head of Nursing"/>
    <n v="5.8333333333333341E-2"/>
    <n v="7.5716666666666681"/>
    <n v="0"/>
    <n v="0"/>
    <n v="0"/>
    <n v="0"/>
    <n v="0"/>
    <n v="0"/>
    <n v="0"/>
    <n v="0"/>
  </r>
  <r>
    <s v="Management and Admin"/>
    <s v="Pay"/>
    <x v="1"/>
    <s v="Consultant"/>
    <s v="Medical Director"/>
    <n v="8.3333333333333329E-2"/>
    <n v="10.486800000000002"/>
    <n v="0.2"/>
    <n v="25.92"/>
    <n v="0.2"/>
    <n v="26.490240000000004"/>
    <n v="0.2"/>
    <n v="27.073025280000003"/>
    <n v="0.2"/>
    <n v="27.668631836160003"/>
  </r>
  <r>
    <s v="Management and Admin"/>
    <s v="Pay"/>
    <x v="1"/>
    <s v="Consultant"/>
    <s v="Deputy Clinical Director"/>
    <n v="4.1666666666666664E-2"/>
    <n v="5.2434000000000012"/>
    <n v="0.1"/>
    <n v="12.96"/>
    <n v="0.1"/>
    <n v="13.245120000000002"/>
    <n v="0.1"/>
    <n v="13.536512640000002"/>
    <n v="0.1"/>
    <n v="13.834315918080001"/>
  </r>
  <r>
    <s v="Management and Admin"/>
    <s v="Pay"/>
    <x v="0"/>
    <s v="Substantive Nursing Band 9"/>
    <s v="Centre Head of Nursing"/>
    <n v="0.16666666666666666"/>
    <n v="21.633333333333336"/>
    <n v="0.4"/>
    <n v="51.920000000000009"/>
    <n v="0.4"/>
    <n v="53.06224000000001"/>
    <n v="0.4"/>
    <n v="54.229609280000012"/>
    <n v="0.4"/>
    <n v="55.422660684160014"/>
  </r>
  <r>
    <s v="Management and Admin"/>
    <s v="Pay"/>
    <x v="4"/>
    <s v="Substantive AHP Band 9"/>
    <s v="Centre Head of Therapies"/>
    <n v="8.3333333333333329E-2"/>
    <n v="10.816666666666668"/>
    <n v="0.2"/>
    <n v="25.960000000000004"/>
    <n v="0.2"/>
    <n v="26.531120000000005"/>
    <n v="0.2"/>
    <n v="27.114804640000006"/>
    <n v="0.2"/>
    <n v="27.711330342080007"/>
  </r>
  <r>
    <s v="Management and Admin"/>
    <s v="Pay"/>
    <x v="6"/>
    <s v="Substantive Management Band 8b"/>
    <s v="Business/Operations and Performance Manager"/>
    <n v="0.41666666666666669"/>
    <n v="32.208333333333336"/>
    <n v="1"/>
    <n v="77.3"/>
    <n v="1"/>
    <n v="79.000600000000006"/>
    <n v="1"/>
    <n v="80.738613200000003"/>
    <n v="1"/>
    <n v="82.514862690400008"/>
  </r>
  <r>
    <s v="Management and Admin"/>
    <s v="Pay"/>
    <x v="6"/>
    <s v="Substantive Management Band 7"/>
    <s v="Head of Quality and Performance"/>
    <n v="0.20833333333333334"/>
    <n v="24.5"/>
    <n v="0.5"/>
    <n v="58.8"/>
    <n v="0.5"/>
    <n v="60.093599999999995"/>
    <n v="0.5"/>
    <n v="61.415659199999993"/>
    <n v="0.5"/>
    <n v="62.766803702399997"/>
  </r>
  <r>
    <s v="Management and Admin"/>
    <s v="Pay"/>
    <x v="0"/>
    <s v="Substantive Nursing Band 8a"/>
    <s v="Matron - Inpatient Care"/>
    <n v="0"/>
    <n v="0"/>
    <n v="0"/>
    <n v="0"/>
    <n v="0"/>
    <n v="0"/>
    <n v="0"/>
    <n v="0"/>
    <n v="0"/>
    <n v="0"/>
  </r>
  <r>
    <s v="Management and Admin"/>
    <s v="Pay"/>
    <x v="0"/>
    <s v="Substantive Nursing Band 8a"/>
    <s v="Matron - POA"/>
    <n v="0"/>
    <n v="0"/>
    <n v="0"/>
    <n v="0"/>
    <n v="0"/>
    <n v="0"/>
    <n v="0"/>
    <n v="0"/>
    <n v="0"/>
    <n v="0"/>
  </r>
  <r>
    <s v="Management and Admin"/>
    <s v="Pay"/>
    <x v="0"/>
    <s v="Substantive Nursing Band 8a"/>
    <s v="Matron - Theatres (BCAD)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162F20-035D-44EA-832C-C065CD79A797}" name="PivotTable2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K9" firstHeaderRow="0" firstDataRow="1" firstDataCol="1"/>
  <pivotFields count="15">
    <pivotField showAll="0"/>
    <pivotField showAll="0"/>
    <pivotField axis="axisRow" showAll="0">
      <items count="8">
        <item x="5"/>
        <item x="4"/>
        <item x="1"/>
        <item x="6"/>
        <item x="3"/>
        <item x="0"/>
        <item x="2"/>
        <item t="default"/>
      </items>
    </pivotField>
    <pivotField showAll="0"/>
    <pivotField showAll="0"/>
    <pivotField dataField="1" numFmtId="167" showAll="0"/>
    <pivotField dataField="1" numFmtId="166" showAll="0"/>
    <pivotField dataField="1" numFmtId="167" showAll="0"/>
    <pivotField dataField="1" numFmtId="166" showAll="0"/>
    <pivotField dataField="1" numFmtId="167" showAll="0"/>
    <pivotField dataField="1" numFmtId="166" showAll="0"/>
    <pivotField dataField="1" numFmtId="167" showAll="0"/>
    <pivotField dataField="1" numFmtId="166" showAll="0"/>
    <pivotField dataField="1" numFmtId="167" showAll="0"/>
    <pivotField dataField="1" numFmtId="166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23/24 Average WTE" fld="5" baseField="0" baseItem="0"/>
    <dataField name="Sum of 23/24  Annual Cost £ '000" fld="6" baseField="0" baseItem="0"/>
    <dataField name="Sum of 24/25 Average WTE" fld="7" baseField="0" baseItem="0"/>
    <dataField name="Sum of 24/25  Annual Cost £ '000" fld="8" baseField="0" baseItem="0"/>
    <dataField name="Sum of 25/26 Average WTE" fld="9" baseField="0" baseItem="0"/>
    <dataField name="Sum of 25/26  Annual Cost £ '000" fld="10" baseField="0" baseItem="0"/>
    <dataField name="Sum of 26/27 Average WTE" fld="11" baseField="0" baseItem="0"/>
    <dataField name="Sum of 26/27  Annual Cost £ '000" fld="12" baseField="0" baseItem="0"/>
    <dataField name="Sum of 27/28 Average WTE" fld="13" baseField="0" baseItem="0"/>
    <dataField name="Sum of 27/28  Annual Cost £ '000" fld="14" baseField="0" baseItem="0"/>
  </data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2" type="button" dataOnly="0" labelOnly="1" outline="0" axis="axisRow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field="2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">
      <pivotArea field="2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">
      <pivotArea field="2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workbookViewId="0">
      <selection activeCell="B18" sqref="B18"/>
    </sheetView>
  </sheetViews>
  <sheetFormatPr baseColWidth="10" defaultColWidth="8.83203125" defaultRowHeight="15"/>
  <cols>
    <col min="2" max="2" width="132.5" customWidth="1"/>
  </cols>
  <sheetData>
    <row r="1" spans="1:2">
      <c r="B1" t="s">
        <v>0</v>
      </c>
    </row>
    <row r="2" spans="1:2">
      <c r="B2" t="s">
        <v>1</v>
      </c>
    </row>
    <row r="3" spans="1:2">
      <c r="B3" t="s">
        <v>112</v>
      </c>
    </row>
    <row r="4" spans="1:2" ht="16">
      <c r="A4" s="58"/>
      <c r="B4" t="s">
        <v>87</v>
      </c>
    </row>
    <row r="5" spans="1:2" ht="16">
      <c r="A5" s="58"/>
    </row>
    <row r="6" spans="1:2" ht="16">
      <c r="A6" s="73" t="s">
        <v>44</v>
      </c>
    </row>
    <row r="7" spans="1:2" ht="16">
      <c r="A7" s="58">
        <v>1</v>
      </c>
      <c r="B7" t="s">
        <v>726</v>
      </c>
    </row>
    <row r="8" spans="1:2" ht="16">
      <c r="A8" s="58">
        <v>2</v>
      </c>
      <c r="B8" t="s">
        <v>727</v>
      </c>
    </row>
    <row r="9" spans="1:2" ht="16">
      <c r="A9" s="58">
        <v>3</v>
      </c>
      <c r="B9" t="s">
        <v>728</v>
      </c>
    </row>
    <row r="10" spans="1:2" ht="16">
      <c r="A10" s="58">
        <v>4</v>
      </c>
      <c r="B10" t="s">
        <v>729</v>
      </c>
    </row>
    <row r="11" spans="1:2" ht="16">
      <c r="A11" s="58"/>
      <c r="B11" t="s">
        <v>85</v>
      </c>
    </row>
    <row r="12" spans="1:2" ht="16">
      <c r="A12" s="58">
        <v>5</v>
      </c>
      <c r="B12" t="s">
        <v>730</v>
      </c>
    </row>
    <row r="13" spans="1:2" ht="16">
      <c r="A13" s="58"/>
      <c r="B13" t="s">
        <v>84</v>
      </c>
    </row>
    <row r="14" spans="1:2" ht="16">
      <c r="A14" s="58"/>
      <c r="B14" t="s">
        <v>86</v>
      </c>
    </row>
    <row r="15" spans="1:2" ht="16">
      <c r="A15" s="58">
        <v>6</v>
      </c>
      <c r="B15" t="s">
        <v>731</v>
      </c>
    </row>
    <row r="16" spans="1:2" ht="16">
      <c r="A16" s="58">
        <v>7</v>
      </c>
      <c r="B16" t="s">
        <v>732</v>
      </c>
    </row>
    <row r="17" spans="1:1" ht="16">
      <c r="A17" s="58"/>
    </row>
    <row r="18" spans="1:1" ht="16">
      <c r="A18" s="58"/>
    </row>
    <row r="19" spans="1:1" ht="16">
      <c r="A19" s="58"/>
    </row>
    <row r="20" spans="1:1" ht="16">
      <c r="A20" s="58"/>
    </row>
    <row r="21" spans="1:1" ht="16">
      <c r="A21" s="58"/>
    </row>
    <row r="22" spans="1:1" ht="16">
      <c r="A22" s="58"/>
    </row>
    <row r="23" spans="1:1" ht="16">
      <c r="A23" s="58"/>
    </row>
    <row r="24" spans="1:1" ht="16">
      <c r="A24" s="58"/>
    </row>
    <row r="25" spans="1:1" ht="16">
      <c r="A25" s="58"/>
    </row>
    <row r="26" spans="1:1" ht="16">
      <c r="A26" s="58"/>
    </row>
    <row r="27" spans="1:1" ht="16">
      <c r="A27" s="58"/>
    </row>
    <row r="28" spans="1:1" ht="16">
      <c r="A28" s="58"/>
    </row>
    <row r="29" spans="1:1" ht="16">
      <c r="A29" s="58"/>
    </row>
    <row r="30" spans="1:1" ht="16">
      <c r="A30" s="58"/>
    </row>
    <row r="31" spans="1:1" ht="16">
      <c r="A31" s="58"/>
    </row>
    <row r="32" spans="1:1" ht="16">
      <c r="A32" s="58"/>
    </row>
    <row r="33" spans="1:1" ht="16">
      <c r="A33" s="58"/>
    </row>
    <row r="34" spans="1:1" ht="16">
      <c r="A34" s="5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topLeftCell="A16" workbookViewId="0">
      <selection activeCell="B13" sqref="B13"/>
    </sheetView>
  </sheetViews>
  <sheetFormatPr baseColWidth="10" defaultColWidth="9.1640625" defaultRowHeight="15"/>
  <cols>
    <col min="1" max="1" width="5.6640625" customWidth="1"/>
    <col min="2" max="2" width="86.83203125" customWidth="1"/>
    <col min="3" max="3" width="22" customWidth="1"/>
    <col min="4" max="4" width="11.33203125" customWidth="1"/>
  </cols>
  <sheetData>
    <row r="1" spans="1:4">
      <c r="B1" t="s">
        <v>0</v>
      </c>
    </row>
    <row r="2" spans="1:4">
      <c r="B2" t="s">
        <v>1</v>
      </c>
    </row>
    <row r="4" spans="1:4" ht="19">
      <c r="B4" s="59" t="s">
        <v>58</v>
      </c>
    </row>
    <row r="7" spans="1:4" s="59" customFormat="1" ht="19"/>
    <row r="8" spans="1:4" s="59" customFormat="1" ht="19">
      <c r="C8" s="72" t="s">
        <v>44</v>
      </c>
      <c r="D8" s="59" t="s">
        <v>83</v>
      </c>
    </row>
    <row r="9" spans="1:4" s="59" customFormat="1" ht="19">
      <c r="A9" s="71" t="s">
        <v>76</v>
      </c>
      <c r="B9" s="59" t="s">
        <v>97</v>
      </c>
      <c r="C9" s="59" t="s">
        <v>72</v>
      </c>
    </row>
    <row r="10" spans="1:4" s="59" customFormat="1" ht="19">
      <c r="A10" s="71" t="s">
        <v>77</v>
      </c>
      <c r="B10" s="59" t="s">
        <v>108</v>
      </c>
      <c r="C10" s="59" t="s">
        <v>60</v>
      </c>
    </row>
    <row r="11" spans="1:4" s="59" customFormat="1" ht="19">
      <c r="A11" s="71" t="s">
        <v>78</v>
      </c>
      <c r="B11" s="59" t="s">
        <v>109</v>
      </c>
      <c r="C11" s="59" t="s">
        <v>60</v>
      </c>
    </row>
    <row r="12" spans="1:4" s="59" customFormat="1" ht="19">
      <c r="A12" s="71" t="s">
        <v>88</v>
      </c>
      <c r="B12" s="59" t="s">
        <v>79</v>
      </c>
      <c r="C12" s="59" t="s">
        <v>60</v>
      </c>
    </row>
    <row r="13" spans="1:4" s="59" customFormat="1" ht="19">
      <c r="A13" s="71" t="s">
        <v>89</v>
      </c>
      <c r="B13" s="59" t="s">
        <v>110</v>
      </c>
      <c r="C13" s="59" t="s">
        <v>61</v>
      </c>
    </row>
    <row r="14" spans="1:4" s="59" customFormat="1" ht="19">
      <c r="A14" s="71" t="s">
        <v>90</v>
      </c>
      <c r="B14" s="59" t="s">
        <v>111</v>
      </c>
    </row>
    <row r="15" spans="1:4" s="59" customFormat="1" ht="19">
      <c r="A15" s="71"/>
    </row>
    <row r="16" spans="1:4" s="59" customFormat="1" ht="19">
      <c r="A16" s="71"/>
    </row>
    <row r="17" spans="2:2" s="59" customFormat="1" ht="19"/>
    <row r="18" spans="2:2" s="59" customFormat="1" ht="19">
      <c r="B18" s="69" t="s">
        <v>56</v>
      </c>
    </row>
    <row r="19" spans="2:2" s="59" customFormat="1" ht="19">
      <c r="B19" s="70" t="s">
        <v>57</v>
      </c>
    </row>
    <row r="20" spans="2:2" s="59" customFormat="1" ht="19"/>
    <row r="21" spans="2:2" s="59" customFormat="1" ht="19"/>
    <row r="22" spans="2:2" s="59" customFormat="1" ht="19"/>
    <row r="23" spans="2:2" s="59" customFormat="1" ht="19"/>
    <row r="24" spans="2:2" s="59" customFormat="1" ht="19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9"/>
  <sheetViews>
    <sheetView showGridLines="0" workbookViewId="0">
      <selection activeCell="C1" sqref="C1"/>
    </sheetView>
  </sheetViews>
  <sheetFormatPr baseColWidth="10" defaultColWidth="8.83203125" defaultRowHeight="15"/>
  <cols>
    <col min="1" max="1" width="5.33203125" customWidth="1"/>
    <col min="2" max="2" width="23.5" customWidth="1"/>
    <col min="3" max="3" width="39.83203125" customWidth="1"/>
    <col min="5" max="5" width="20.1640625" customWidth="1"/>
  </cols>
  <sheetData>
    <row r="1" spans="2:5">
      <c r="B1" t="s">
        <v>0</v>
      </c>
    </row>
    <row r="2" spans="2:5">
      <c r="B2" t="s">
        <v>1</v>
      </c>
    </row>
    <row r="4" spans="2:5" ht="16">
      <c r="B4" s="58" t="s">
        <v>66</v>
      </c>
    </row>
    <row r="5" spans="2:5">
      <c r="B5" t="s">
        <v>80</v>
      </c>
    </row>
    <row r="6" spans="2:5">
      <c r="B6" t="s">
        <v>81</v>
      </c>
    </row>
    <row r="8" spans="2:5" ht="32">
      <c r="B8" t="s">
        <v>65</v>
      </c>
      <c r="C8" s="118" t="s">
        <v>138</v>
      </c>
    </row>
    <row r="9" spans="2:5">
      <c r="B9" t="s">
        <v>67</v>
      </c>
      <c r="C9" s="38"/>
    </row>
    <row r="10" spans="2:5">
      <c r="B10" t="s">
        <v>68</v>
      </c>
      <c r="C10" s="38" t="s">
        <v>139</v>
      </c>
    </row>
    <row r="12" spans="2:5">
      <c r="B12" t="s">
        <v>71</v>
      </c>
    </row>
    <row r="13" spans="2:5" ht="32" hidden="1">
      <c r="B13" s="124" t="s">
        <v>141</v>
      </c>
      <c r="C13" s="118" t="s">
        <v>140</v>
      </c>
      <c r="E13" s="66"/>
    </row>
    <row r="14" spans="2:5" ht="16" hidden="1">
      <c r="B14" s="124" t="s">
        <v>143</v>
      </c>
      <c r="C14" s="118" t="s">
        <v>142</v>
      </c>
    </row>
    <row r="15" spans="2:5" ht="32">
      <c r="B15" s="124" t="s">
        <v>149</v>
      </c>
      <c r="C15" s="118" t="s">
        <v>144</v>
      </c>
    </row>
    <row r="16" spans="2:5" ht="16" hidden="1">
      <c r="B16" s="124" t="s">
        <v>146</v>
      </c>
      <c r="C16" s="118" t="s">
        <v>145</v>
      </c>
    </row>
    <row r="17" spans="2:3" ht="32" hidden="1">
      <c r="B17" s="124" t="s">
        <v>148</v>
      </c>
      <c r="C17" s="118" t="s">
        <v>147</v>
      </c>
    </row>
    <row r="19" spans="2:3" ht="16">
      <c r="B19" s="66" t="s">
        <v>96</v>
      </c>
      <c r="C19" s="88">
        <v>44965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31"/>
  <sheetViews>
    <sheetView showGridLines="0" workbookViewId="0">
      <selection activeCell="E14" sqref="E14"/>
    </sheetView>
  </sheetViews>
  <sheetFormatPr baseColWidth="10" defaultColWidth="9.1640625" defaultRowHeight="15"/>
  <cols>
    <col min="1" max="1" width="2.83203125" customWidth="1"/>
    <col min="2" max="2" width="29.6640625" customWidth="1"/>
    <col min="3" max="3" width="45.33203125" style="74" customWidth="1"/>
    <col min="4" max="4" width="12.33203125" customWidth="1"/>
    <col min="5" max="8" width="10.6640625" customWidth="1"/>
    <col min="9" max="10" width="11.83203125" customWidth="1"/>
    <col min="11" max="11" width="9.83203125" bestFit="1" customWidth="1"/>
    <col min="12" max="17" width="12.6640625" bestFit="1" customWidth="1"/>
  </cols>
  <sheetData>
    <row r="1" spans="2:17">
      <c r="B1" t="s">
        <v>0</v>
      </c>
    </row>
    <row r="2" spans="2:17">
      <c r="B2" t="s">
        <v>1</v>
      </c>
    </row>
    <row r="3" spans="2:17" ht="16">
      <c r="B3" s="58" t="s">
        <v>19</v>
      </c>
    </row>
    <row r="5" spans="2:17" ht="50" customHeight="1">
      <c r="B5" s="77" t="s">
        <v>10</v>
      </c>
      <c r="C5" s="78" t="str">
        <f>'2. Standing data'!C8</f>
        <v>North West London Elective Orthopaedic Centre (at CMH)</v>
      </c>
      <c r="D5" s="48"/>
      <c r="F5" t="s">
        <v>98</v>
      </c>
    </row>
    <row r="6" spans="2:17" ht="20" customHeight="1">
      <c r="B6" t="s">
        <v>67</v>
      </c>
      <c r="C6" s="75">
        <f>'2. Standing data'!C9</f>
        <v>0</v>
      </c>
      <c r="D6" s="48"/>
      <c r="F6" t="s">
        <v>227</v>
      </c>
    </row>
    <row r="7" spans="2:17" ht="25.25" customHeight="1">
      <c r="B7" t="s">
        <v>68</v>
      </c>
      <c r="C7" s="75" t="str">
        <f>'2. Standing data'!C10</f>
        <v>Wendy Harrowell</v>
      </c>
      <c r="D7" s="48"/>
    </row>
    <row r="8" spans="2:17">
      <c r="B8" t="s">
        <v>96</v>
      </c>
      <c r="C8" s="89">
        <f>'2. Standing data'!C19</f>
        <v>44965</v>
      </c>
    </row>
    <row r="11" spans="2:17" ht="48">
      <c r="B11" s="135" t="s">
        <v>62</v>
      </c>
      <c r="C11" s="136" t="s">
        <v>137</v>
      </c>
      <c r="D11" s="130" t="s">
        <v>224</v>
      </c>
      <c r="E11" s="131" t="s">
        <v>11</v>
      </c>
      <c r="F11" s="131" t="s">
        <v>12</v>
      </c>
      <c r="G11" s="131" t="s">
        <v>13</v>
      </c>
      <c r="H11" s="131" t="s">
        <v>14</v>
      </c>
      <c r="I11" s="132" t="s">
        <v>15</v>
      </c>
      <c r="J11" s="131" t="s">
        <v>34</v>
      </c>
      <c r="L11" s="121"/>
    </row>
    <row r="12" spans="2:17" ht="16">
      <c r="B12" s="145" t="s">
        <v>63</v>
      </c>
      <c r="C12" s="146" t="s">
        <v>70</v>
      </c>
      <c r="D12" s="133"/>
      <c r="E12" s="134" t="s">
        <v>136</v>
      </c>
      <c r="F12" s="134" t="s">
        <v>136</v>
      </c>
      <c r="G12" s="134" t="s">
        <v>136</v>
      </c>
      <c r="H12" s="134" t="s">
        <v>136</v>
      </c>
      <c r="I12" s="134" t="s">
        <v>136</v>
      </c>
      <c r="J12" s="134" t="s">
        <v>136</v>
      </c>
      <c r="L12" s="122"/>
    </row>
    <row r="13" spans="2:17" ht="35" hidden="1" customHeight="1">
      <c r="B13" s="83" t="s">
        <v>59</v>
      </c>
      <c r="C13" s="84" t="s">
        <v>59</v>
      </c>
      <c r="D13" s="84"/>
      <c r="E13" s="85">
        <f>'4. Revenue'!B64</f>
        <v>0</v>
      </c>
      <c r="F13" s="85">
        <f>E13</f>
        <v>0</v>
      </c>
      <c r="G13" s="85">
        <f t="shared" ref="G13:I13" si="0">F13</f>
        <v>0</v>
      </c>
      <c r="H13" s="85">
        <f t="shared" si="0"/>
        <v>0</v>
      </c>
      <c r="I13" s="86">
        <f t="shared" si="0"/>
        <v>0</v>
      </c>
      <c r="J13" s="85">
        <f>SUM(E13:I13)</f>
        <v>0</v>
      </c>
      <c r="L13" s="123"/>
    </row>
    <row r="14" spans="2:17" ht="16">
      <c r="B14" s="82" t="str">
        <f>'2. Standing data'!B15</f>
        <v>Option Five - Preferred Option</v>
      </c>
      <c r="C14" s="94" t="str">
        <f>'2. Standing data'!$C$15</f>
        <v xml:space="preserve">LNWH DC &amp; IP + NWL IP </v>
      </c>
      <c r="D14" s="175">
        <f>'7c. Capital Charges'!D3</f>
        <v>2</v>
      </c>
      <c r="E14" s="127">
        <f>ROUND('4. Revenue'!I64,0)</f>
        <v>-140</v>
      </c>
      <c r="F14" s="127">
        <f>ROUND('4. Revenue'!J64,0)</f>
        <v>-3968</v>
      </c>
      <c r="G14" s="126">
        <f>ROUND('4. Revenue'!K64,0)</f>
        <v>-4159</v>
      </c>
      <c r="H14" s="127">
        <f>ROUND('4. Revenue'!L64,0)</f>
        <v>-4323</v>
      </c>
      <c r="I14" s="127">
        <f>ROUND('4. Revenue'!M64,0)</f>
        <v>-4464</v>
      </c>
      <c r="J14" s="127">
        <f t="shared" ref="J14" si="1">SUM(E14:I14)</f>
        <v>-17054</v>
      </c>
      <c r="L14" s="129"/>
      <c r="M14" s="119"/>
      <c r="N14" s="119"/>
      <c r="O14" s="119"/>
      <c r="P14" s="119"/>
      <c r="Q14" s="119"/>
    </row>
    <row r="15" spans="2:17">
      <c r="B15" s="65"/>
      <c r="C15" s="66"/>
      <c r="D15" s="87"/>
      <c r="E15" s="87"/>
      <c r="F15" s="87"/>
      <c r="G15" s="87"/>
      <c r="H15" s="87"/>
      <c r="I15" s="87"/>
    </row>
    <row r="16" spans="2:17">
      <c r="B16" s="65"/>
      <c r="C16" s="66"/>
    </row>
    <row r="17" spans="2:9">
      <c r="B17" s="65"/>
      <c r="C17" s="66"/>
    </row>
    <row r="18" spans="2:9">
      <c r="B18" s="135" t="s">
        <v>94</v>
      </c>
      <c r="C18" s="136"/>
      <c r="D18" s="131" t="s">
        <v>11</v>
      </c>
      <c r="E18" s="131" t="s">
        <v>12</v>
      </c>
      <c r="F18" s="131" t="s">
        <v>13</v>
      </c>
      <c r="G18" s="131" t="s">
        <v>14</v>
      </c>
      <c r="H18" s="132" t="s">
        <v>15</v>
      </c>
      <c r="I18" s="131" t="s">
        <v>34</v>
      </c>
    </row>
    <row r="19" spans="2:9" ht="16">
      <c r="B19" s="137"/>
      <c r="C19" s="138" t="s">
        <v>70</v>
      </c>
      <c r="D19" s="134" t="s">
        <v>136</v>
      </c>
      <c r="E19" s="134" t="s">
        <v>136</v>
      </c>
      <c r="F19" s="134" t="s">
        <v>136</v>
      </c>
      <c r="G19" s="134" t="s">
        <v>136</v>
      </c>
      <c r="H19" s="134" t="s">
        <v>136</v>
      </c>
      <c r="I19" s="134" t="s">
        <v>136</v>
      </c>
    </row>
    <row r="20" spans="2:9" s="93" customFormat="1" ht="16">
      <c r="B20" s="128" t="str">
        <f>B14</f>
        <v>Option Five - Preferred Option</v>
      </c>
      <c r="C20" s="94" t="str">
        <f>'2. Standing data'!$C$15</f>
        <v xml:space="preserve">LNWH DC &amp; IP + NWL IP </v>
      </c>
      <c r="D20" s="95">
        <f>'5. Capital'!F49</f>
        <v>9412.0297320000009</v>
      </c>
      <c r="E20" s="96"/>
      <c r="F20" s="96"/>
      <c r="G20" s="96"/>
      <c r="H20" s="96"/>
      <c r="I20" s="97">
        <f>SUM(D20:H20)</f>
        <v>9412.0297320000009</v>
      </c>
    </row>
    <row r="21" spans="2:9" ht="11.75" customHeight="1">
      <c r="B21" s="65"/>
      <c r="C21" s="66"/>
    </row>
    <row r="22" spans="2:9">
      <c r="B22" s="65"/>
      <c r="C22" s="66"/>
    </row>
    <row r="23" spans="2:9">
      <c r="B23" s="65"/>
      <c r="C23" s="66"/>
      <c r="D23" s="36"/>
      <c r="E23" s="36"/>
      <c r="F23" s="36"/>
      <c r="G23" s="36"/>
      <c r="H23" s="36"/>
    </row>
    <row r="24" spans="2:9">
      <c r="B24" s="139" t="s">
        <v>49</v>
      </c>
      <c r="C24" s="141"/>
      <c r="D24" s="131" t="s">
        <v>228</v>
      </c>
      <c r="E24" s="37"/>
      <c r="F24" s="37"/>
      <c r="G24" s="37"/>
      <c r="H24" s="37"/>
    </row>
    <row r="25" spans="2:9" ht="16">
      <c r="B25" s="140" t="s">
        <v>69</v>
      </c>
      <c r="C25" s="147" t="s">
        <v>70</v>
      </c>
      <c r="D25" s="134" t="s">
        <v>136</v>
      </c>
      <c r="E25" s="37"/>
      <c r="F25" s="37"/>
      <c r="G25" s="37"/>
      <c r="H25" s="37"/>
    </row>
    <row r="26" spans="2:9" ht="16">
      <c r="B26" s="80" t="str">
        <f t="shared" ref="B26" si="2">B20</f>
        <v>Option Five - Preferred Option</v>
      </c>
      <c r="C26" s="142" t="str">
        <f>'2. Standing data'!$C$15</f>
        <v xml:space="preserve">LNWH DC &amp; IP + NWL IP </v>
      </c>
      <c r="D26" s="143" t="e">
        <f>ROUND(#REF!,0)</f>
        <v>#REF!</v>
      </c>
      <c r="E26" s="144" t="e">
        <f t="shared" ref="E26" si="3">IF(D26&lt;0,"Negative NPV","Postive NPV")</f>
        <v>#REF!</v>
      </c>
    </row>
    <row r="27" spans="2:9" ht="59" customHeight="1"/>
    <row r="28" spans="2:9" ht="59" customHeight="1"/>
    <row r="29" spans="2:9" ht="59" customHeight="1"/>
    <row r="30" spans="2:9" ht="59" customHeight="1"/>
    <row r="31" spans="2:9" ht="59" customHeight="1"/>
  </sheetData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5"/>
  <sheetViews>
    <sheetView workbookViewId="0">
      <pane xSplit="1" ySplit="10" topLeftCell="B51" activePane="bottomRight" state="frozen"/>
      <selection pane="topRight" activeCell="B1" sqref="B1"/>
      <selection pane="bottomLeft" activeCell="A8" sqref="A8"/>
      <selection pane="bottomRight" activeCell="A43" sqref="A43:A44"/>
    </sheetView>
  </sheetViews>
  <sheetFormatPr baseColWidth="10" defaultColWidth="9.1640625" defaultRowHeight="14"/>
  <cols>
    <col min="1" max="1" width="51" style="1" customWidth="1"/>
    <col min="2" max="2" width="11.6640625" style="49" customWidth="1"/>
    <col min="3" max="3" width="9" style="1" customWidth="1"/>
    <col min="4" max="7" width="10.5" style="1" customWidth="1"/>
    <col min="8" max="8" width="12.6640625" style="1" customWidth="1"/>
    <col min="9" max="9" width="13" style="1" customWidth="1"/>
    <col min="10" max="13" width="11.6640625" style="1" customWidth="1"/>
    <col min="14" max="14" width="7.33203125" style="1" customWidth="1"/>
    <col min="15" max="15" width="11.6640625" style="1" customWidth="1"/>
    <col min="16" max="16" width="9.83203125" style="1" bestFit="1" customWidth="1"/>
    <col min="17" max="16384" width="9.1640625" style="1"/>
  </cols>
  <sheetData>
    <row r="1" spans="1:14">
      <c r="A1" s="49" t="s">
        <v>0</v>
      </c>
    </row>
    <row r="2" spans="1:14">
      <c r="A2" s="1" t="s">
        <v>1</v>
      </c>
    </row>
    <row r="3" spans="1:14">
      <c r="A3" s="1" t="s">
        <v>20</v>
      </c>
    </row>
    <row r="4" spans="1:14" ht="16">
      <c r="A4" s="1" t="s">
        <v>10</v>
      </c>
      <c r="C4" s="98"/>
      <c r="D4" s="68" t="str">
        <f>'3. Summary'!$C$5</f>
        <v>North West London Elective Orthopaedic Centre (at CMH)</v>
      </c>
      <c r="E4" s="76"/>
      <c r="F4" s="76"/>
      <c r="G4" s="76"/>
      <c r="H4" s="76"/>
    </row>
    <row r="5" spans="1:14" ht="16">
      <c r="A5" s="179">
        <f>'2. Standing data'!C19</f>
        <v>44965</v>
      </c>
      <c r="E5" s="58"/>
      <c r="F5" s="58"/>
      <c r="G5" s="58"/>
      <c r="H5" s="58"/>
    </row>
    <row r="6" spans="1:14">
      <c r="D6" s="35" t="s">
        <v>56</v>
      </c>
      <c r="E6" s="35"/>
      <c r="F6" s="35"/>
      <c r="G6" s="35"/>
      <c r="H6" s="35"/>
    </row>
    <row r="8" spans="1:14" ht="40.5" customHeight="1" thickBot="1">
      <c r="A8" s="6"/>
      <c r="C8" s="8"/>
      <c r="D8" s="7"/>
      <c r="E8" s="7"/>
      <c r="F8" s="7"/>
      <c r="G8" s="7"/>
      <c r="H8" s="7"/>
      <c r="I8" s="25" t="str">
        <f>'3. Summary'!B14</f>
        <v>Option Five - Preferred Option</v>
      </c>
      <c r="J8" s="28" t="str">
        <f>I8</f>
        <v>Option Five - Preferred Option</v>
      </c>
      <c r="K8" s="28" t="str">
        <f t="shared" ref="K8:M8" si="0">J8</f>
        <v>Option Five - Preferred Option</v>
      </c>
      <c r="L8" s="28" t="str">
        <f t="shared" si="0"/>
        <v>Option Five - Preferred Option</v>
      </c>
      <c r="M8" s="28" t="str">
        <f t="shared" si="0"/>
        <v>Option Five - Preferred Option</v>
      </c>
      <c r="N8" s="23"/>
    </row>
    <row r="9" spans="1:14" s="44" customFormat="1" ht="40.25" hidden="1" customHeight="1">
      <c r="A9" s="39"/>
      <c r="B9" s="54" t="s">
        <v>42</v>
      </c>
      <c r="C9" s="42"/>
      <c r="D9" s="40"/>
      <c r="E9" s="40"/>
      <c r="F9" s="40"/>
      <c r="G9" s="40"/>
      <c r="H9" s="40"/>
      <c r="I9" s="41" t="str">
        <f>'2. Standing data'!$C$15</f>
        <v xml:space="preserve">LNWH DC &amp; IP + NWL IP </v>
      </c>
      <c r="J9" s="41" t="str">
        <f>'2. Standing data'!$C$15</f>
        <v xml:space="preserve">LNWH DC &amp; IP + NWL IP </v>
      </c>
      <c r="K9" s="41" t="str">
        <f>'2. Standing data'!$C$15</f>
        <v xml:space="preserve">LNWH DC &amp; IP + NWL IP </v>
      </c>
      <c r="L9" s="41" t="str">
        <f>'2. Standing data'!$C$15</f>
        <v xml:space="preserve">LNWH DC &amp; IP + NWL IP </v>
      </c>
      <c r="M9" s="41" t="str">
        <f>'2. Standing data'!$C$15</f>
        <v xml:space="preserve">LNWH DC &amp; IP + NWL IP </v>
      </c>
      <c r="N9" s="43"/>
    </row>
    <row r="10" spans="1:14" ht="18" customHeight="1" thickBot="1">
      <c r="A10" s="6"/>
      <c r="B10" s="396" t="s">
        <v>26</v>
      </c>
      <c r="C10" s="8" t="s">
        <v>93</v>
      </c>
      <c r="D10" s="7"/>
      <c r="E10" s="7"/>
      <c r="F10" s="7"/>
      <c r="G10" s="7"/>
      <c r="H10" s="7"/>
      <c r="I10" s="26" t="s">
        <v>26</v>
      </c>
      <c r="J10" s="26" t="s">
        <v>26</v>
      </c>
      <c r="K10" s="26" t="s">
        <v>26</v>
      </c>
      <c r="L10" s="26" t="s">
        <v>26</v>
      </c>
      <c r="M10" s="26" t="s">
        <v>26</v>
      </c>
    </row>
    <row r="11" spans="1:14" ht="14" customHeight="1">
      <c r="A11" s="9"/>
      <c r="B11" s="55"/>
      <c r="C11" s="10"/>
      <c r="D11" s="397" t="s">
        <v>478</v>
      </c>
      <c r="E11" s="397" t="s">
        <v>479</v>
      </c>
      <c r="F11" s="397" t="s">
        <v>480</v>
      </c>
      <c r="G11" s="397" t="s">
        <v>481</v>
      </c>
      <c r="H11" s="397" t="s">
        <v>482</v>
      </c>
      <c r="I11" s="11" t="s">
        <v>21</v>
      </c>
      <c r="J11" s="11" t="s">
        <v>22</v>
      </c>
      <c r="K11" s="11" t="s">
        <v>23</v>
      </c>
      <c r="L11" s="11" t="s">
        <v>24</v>
      </c>
      <c r="M11" s="11" t="s">
        <v>25</v>
      </c>
    </row>
    <row r="12" spans="1:14" ht="45">
      <c r="A12" s="9"/>
      <c r="B12" s="55"/>
      <c r="C12" s="10"/>
      <c r="D12" s="27" t="s">
        <v>149</v>
      </c>
      <c r="E12" s="27" t="s">
        <v>149</v>
      </c>
      <c r="F12" s="27" t="s">
        <v>149</v>
      </c>
      <c r="G12" s="28" t="s">
        <v>149</v>
      </c>
      <c r="H12" s="28" t="s">
        <v>149</v>
      </c>
      <c r="I12" s="12" t="s">
        <v>29</v>
      </c>
      <c r="J12" s="12" t="s">
        <v>29</v>
      </c>
      <c r="K12" s="12" t="s">
        <v>29</v>
      </c>
      <c r="L12" s="12" t="s">
        <v>29</v>
      </c>
      <c r="M12" s="12" t="s">
        <v>29</v>
      </c>
    </row>
    <row r="13" spans="1:14" ht="15" thickBot="1">
      <c r="A13" s="13" t="s">
        <v>3</v>
      </c>
      <c r="B13" s="56"/>
      <c r="C13" s="2" t="s">
        <v>113</v>
      </c>
      <c r="D13" s="18" t="s">
        <v>4</v>
      </c>
      <c r="E13" s="18" t="s">
        <v>4</v>
      </c>
      <c r="F13" s="18" t="s">
        <v>4</v>
      </c>
      <c r="G13" s="18" t="s">
        <v>4</v>
      </c>
      <c r="H13" s="18" t="s">
        <v>4</v>
      </c>
      <c r="I13" s="117">
        <v>1</v>
      </c>
      <c r="J13" s="117">
        <v>1</v>
      </c>
      <c r="K13" s="117">
        <v>1</v>
      </c>
      <c r="L13" s="117">
        <v>1</v>
      </c>
      <c r="M13" s="117">
        <v>1</v>
      </c>
    </row>
    <row r="14" spans="1:14">
      <c r="A14" s="13"/>
      <c r="B14" s="91"/>
      <c r="C14" s="107"/>
      <c r="D14" s="111"/>
      <c r="E14" s="111"/>
      <c r="F14" s="111"/>
      <c r="G14" s="111"/>
      <c r="H14" s="111"/>
      <c r="I14" s="4"/>
      <c r="J14" s="4"/>
      <c r="K14" s="4"/>
      <c r="L14" s="4"/>
      <c r="M14" s="4"/>
    </row>
    <row r="15" spans="1:14">
      <c r="A15" s="13" t="s">
        <v>99</v>
      </c>
      <c r="B15" s="3"/>
      <c r="C15" s="108"/>
      <c r="D15" s="112"/>
      <c r="E15" s="112"/>
      <c r="F15" s="112"/>
      <c r="G15" s="112"/>
      <c r="H15" s="112"/>
      <c r="I15" s="4"/>
      <c r="J15" s="4"/>
      <c r="K15" s="4"/>
      <c r="L15" s="4"/>
      <c r="M15" s="4"/>
    </row>
    <row r="16" spans="1:14">
      <c r="A16" s="9" t="s">
        <v>155</v>
      </c>
      <c r="B16" s="3"/>
      <c r="C16" s="108"/>
      <c r="D16" s="120">
        <f>'7a. Income and Activity'!B5</f>
        <v>1554</v>
      </c>
      <c r="E16" s="120">
        <f>'7a. Income and Activity'!C5</f>
        <v>1568.6000000000001</v>
      </c>
      <c r="F16" s="120">
        <f>'7a. Income and Activity'!D5</f>
        <v>1592</v>
      </c>
      <c r="G16" s="120">
        <f>'7a. Income and Activity'!E5</f>
        <v>1617</v>
      </c>
      <c r="H16" s="120">
        <f>'7a. Income and Activity'!F5</f>
        <v>1641</v>
      </c>
      <c r="I16" s="4">
        <f>'7a. Income and Activity'!G5/1000</f>
        <v>-1305.6932274968792</v>
      </c>
      <c r="J16" s="4">
        <f>'7a. Income and Activity'!H5/1000</f>
        <v>-1346.9554860861906</v>
      </c>
      <c r="K16" s="4">
        <f>'7a. Income and Activity'!I5/1000</f>
        <v>-1396.4767164573575</v>
      </c>
      <c r="L16" s="4">
        <f>'7a. Income and Activity'!J5/1000</f>
        <v>-1448.2961013432275</v>
      </c>
      <c r="M16" s="4">
        <f>'7a. Income and Activity'!K5/1000</f>
        <v>-1500.1255688022836</v>
      </c>
    </row>
    <row r="17" spans="1:13">
      <c r="A17" s="9" t="s">
        <v>156</v>
      </c>
      <c r="B17" s="3"/>
      <c r="C17" s="108"/>
      <c r="D17" s="120">
        <f>'7a. Income and Activity'!B6</f>
        <v>2486</v>
      </c>
      <c r="E17" s="120">
        <f>'7a. Income and Activity'!C6</f>
        <v>4226.3999999999996</v>
      </c>
      <c r="F17" s="120">
        <f>'7a. Income and Activity'!D6</f>
        <v>4290</v>
      </c>
      <c r="G17" s="120">
        <f>'7a. Income and Activity'!E6</f>
        <v>4357</v>
      </c>
      <c r="H17" s="120">
        <f>'7a. Income and Activity'!F6</f>
        <v>4422</v>
      </c>
      <c r="I17" s="4">
        <f>'7a. Income and Activity'!G6/1000</f>
        <v>-16370.784173953625</v>
      </c>
      <c r="J17" s="4">
        <f>'7a. Income and Activity'!H6/1000</f>
        <v>-28443.946436813814</v>
      </c>
      <c r="K17" s="4">
        <f>'7a. Income and Activity'!I6/1000</f>
        <v>-29493.488868437871</v>
      </c>
      <c r="L17" s="4">
        <f>'7a. Income and Activity'!J6/1000</f>
        <v>-30585.326663132102</v>
      </c>
      <c r="M17" s="4">
        <f>'7a. Income and Activity'!K6/1000</f>
        <v>-31682.248225075844</v>
      </c>
    </row>
    <row r="18" spans="1:13">
      <c r="A18" s="9" t="s">
        <v>157</v>
      </c>
      <c r="B18" s="3"/>
      <c r="C18" s="108"/>
      <c r="D18" s="120">
        <f>'7a. Income and Activity'!B7</f>
        <v>3122</v>
      </c>
      <c r="E18" s="120">
        <f>'7a. Income and Activity'!C7</f>
        <v>3322.7700000000004</v>
      </c>
      <c r="F18" s="120">
        <f>'7a. Income and Activity'!D7</f>
        <v>3372.8</v>
      </c>
      <c r="G18" s="120">
        <f>'7a. Income and Activity'!E7</f>
        <v>3425.2</v>
      </c>
      <c r="H18" s="120">
        <f>'7a. Income and Activity'!F7</f>
        <v>3476.4</v>
      </c>
      <c r="I18" s="4">
        <f>'7a. Income and Activity'!G7/1000</f>
        <v>-311.98146000000003</v>
      </c>
      <c r="J18" s="4">
        <f>'7a. Income and Activity'!H7/1000</f>
        <v>-332.04440610000006</v>
      </c>
      <c r="K18" s="4">
        <f>'7a. Income and Activity'!I7/1000</f>
        <v>-337.04390400000005</v>
      </c>
      <c r="L18" s="4">
        <f>'7a. Income and Activity'!J7/1000</f>
        <v>-342.28023600000006</v>
      </c>
      <c r="M18" s="4">
        <f>'7a. Income and Activity'!K7/1000</f>
        <v>-347.39665200000007</v>
      </c>
    </row>
    <row r="19" spans="1:13">
      <c r="A19" s="9" t="s">
        <v>159</v>
      </c>
      <c r="B19" s="3"/>
      <c r="C19" s="108"/>
      <c r="D19" s="120">
        <f>'7a. Income and Activity'!B8</f>
        <v>372.9</v>
      </c>
      <c r="E19" s="120">
        <f>'7a. Income and Activity'!C8</f>
        <v>633.95999999999992</v>
      </c>
      <c r="F19" s="120">
        <f>'7a. Income and Activity'!D8</f>
        <v>643.5</v>
      </c>
      <c r="G19" s="120">
        <f>'7a. Income and Activity'!E8</f>
        <v>653.54999999999995</v>
      </c>
      <c r="H19" s="120">
        <f>'7a. Income and Activity'!F8</f>
        <v>663.3</v>
      </c>
      <c r="I19" s="4">
        <f>'7a. Income and Activity'!G8/1000</f>
        <v>-365.70302999999996</v>
      </c>
      <c r="J19" s="4">
        <f>'7a. Income and Activity'!H8/1000</f>
        <v>-621.72457199999997</v>
      </c>
      <c r="K19" s="4">
        <f>'7a. Income and Activity'!I8/1000</f>
        <v>-631.08045000000004</v>
      </c>
      <c r="L19" s="4">
        <f>'7a. Income and Activity'!J8/1000</f>
        <v>-640.93648499999995</v>
      </c>
      <c r="M19" s="4">
        <f>'7a. Income and Activity'!K8/1000</f>
        <v>-650.49830999999995</v>
      </c>
    </row>
    <row r="20" spans="1:13">
      <c r="A20" s="9" t="s">
        <v>162</v>
      </c>
      <c r="B20" s="3"/>
      <c r="C20" s="108"/>
      <c r="D20" s="120"/>
      <c r="E20" s="120"/>
      <c r="F20" s="120"/>
      <c r="G20" s="120"/>
      <c r="H20" s="120"/>
      <c r="I20" s="4">
        <f>I44*-0.05</f>
        <v>-17.550764000952928</v>
      </c>
      <c r="J20" s="4">
        <f t="shared" ref="J20:M20" si="1">J44*-0.05</f>
        <v>-26.545885707631516</v>
      </c>
      <c r="K20" s="4">
        <f t="shared" si="1"/>
        <v>-27.615684901649072</v>
      </c>
      <c r="L20" s="4">
        <f t="shared" si="1"/>
        <v>-28.825307131711106</v>
      </c>
      <c r="M20" s="4">
        <f t="shared" si="1"/>
        <v>-30.079006214790617</v>
      </c>
    </row>
    <row r="21" spans="1:13">
      <c r="A21" s="9" t="s">
        <v>641</v>
      </c>
      <c r="B21" s="3"/>
      <c r="C21" s="108"/>
      <c r="D21" s="120"/>
      <c r="E21" s="120"/>
      <c r="F21" s="120"/>
      <c r="G21" s="120"/>
      <c r="H21" s="120"/>
      <c r="I21" s="4">
        <f>-1.08409*1.2*0.64*0.2*D17</f>
        <v>-413.95933286399998</v>
      </c>
      <c r="J21" s="4">
        <f>-1.08409*1.2*0.64*0.2*E17</f>
        <v>-703.76416911359991</v>
      </c>
      <c r="K21" s="4">
        <f>-1.08409*1.2*0.64*0.2*F17</f>
        <v>-714.35460095999997</v>
      </c>
      <c r="L21" s="4">
        <f>-1.08409*1.2*0.64*0.2*G17</f>
        <v>-725.51118796799994</v>
      </c>
      <c r="M21" s="4">
        <f>-1.08409*1.2*0.64*0.2*H17</f>
        <v>-736.33474252799999</v>
      </c>
    </row>
    <row r="22" spans="1:13">
      <c r="A22" s="9" t="s">
        <v>642</v>
      </c>
      <c r="B22" s="3"/>
      <c r="C22" s="108"/>
      <c r="D22" s="120"/>
      <c r="E22" s="120"/>
      <c r="F22" s="120"/>
      <c r="G22" s="120"/>
      <c r="H22" s="120"/>
      <c r="I22" s="4">
        <f>-104*0.87</f>
        <v>-90.48</v>
      </c>
      <c r="J22" s="4">
        <f>-104</f>
        <v>-104</v>
      </c>
      <c r="K22" s="4">
        <f>J22*1.03</f>
        <v>-107.12</v>
      </c>
      <c r="L22" s="4">
        <f>K22*1.03</f>
        <v>-110.3336</v>
      </c>
      <c r="M22" s="4">
        <f>L22*1.03</f>
        <v>-113.643608</v>
      </c>
    </row>
    <row r="23" spans="1:13">
      <c r="A23" s="9"/>
      <c r="B23" s="3"/>
      <c r="C23" s="108"/>
      <c r="D23" s="120"/>
      <c r="E23" s="120"/>
      <c r="F23" s="120"/>
      <c r="G23" s="120"/>
      <c r="H23" s="120"/>
      <c r="I23" s="4"/>
      <c r="J23" s="4"/>
      <c r="K23" s="4"/>
      <c r="L23" s="4"/>
      <c r="M23" s="4"/>
    </row>
    <row r="24" spans="1:13">
      <c r="A24" s="13" t="s">
        <v>100</v>
      </c>
      <c r="B24" s="3"/>
      <c r="C24" s="125"/>
      <c r="D24" s="120"/>
      <c r="E24" s="120"/>
      <c r="F24" s="120"/>
      <c r="G24" s="120"/>
      <c r="H24" s="112"/>
      <c r="I24" s="4"/>
      <c r="J24" s="4"/>
      <c r="K24" s="4"/>
      <c r="L24" s="4"/>
      <c r="M24" s="4"/>
    </row>
    <row r="25" spans="1:13">
      <c r="A25" s="9" t="s">
        <v>210</v>
      </c>
      <c r="B25" s="3"/>
      <c r="C25" s="100"/>
      <c r="D25" s="113"/>
      <c r="E25" s="113"/>
      <c r="F25" s="113"/>
      <c r="G25" s="113"/>
      <c r="H25" s="113"/>
      <c r="I25" s="4">
        <f>-'9b. Workforce Phasing'!G38*0.4</f>
        <v>-29.448379733500005</v>
      </c>
      <c r="J25" s="4">
        <f>-'9b. Workforce Phasing'!I38*0.4</f>
        <v>-34.279560000000004</v>
      </c>
      <c r="K25" s="4">
        <f>-'9b. Workforce Phasing'!K38*0.4</f>
        <v>-35.033710320000004</v>
      </c>
      <c r="L25" s="4">
        <f>-'9b. Workforce Phasing'!M38*0.4</f>
        <v>-35.804451947040008</v>
      </c>
      <c r="M25" s="4">
        <f>-'9b. Workforce Phasing'!O38*0.4</f>
        <v>-36.592149889874889</v>
      </c>
    </row>
    <row r="26" spans="1:13" ht="15" thickBot="1">
      <c r="A26" s="9"/>
      <c r="B26" s="3"/>
      <c r="C26" s="109"/>
      <c r="D26" s="114"/>
      <c r="E26" s="114"/>
      <c r="F26" s="114"/>
      <c r="G26" s="114"/>
      <c r="H26" s="114"/>
      <c r="I26" s="4"/>
      <c r="J26" s="4"/>
      <c r="K26" s="4"/>
      <c r="L26" s="4"/>
      <c r="M26" s="4"/>
    </row>
    <row r="27" spans="1:13">
      <c r="A27" s="64" t="s">
        <v>5</v>
      </c>
      <c r="B27" s="81"/>
      <c r="C27" s="15"/>
      <c r="D27" s="10"/>
      <c r="E27" s="10"/>
      <c r="F27" s="10"/>
      <c r="G27" s="10"/>
      <c r="H27" s="10"/>
      <c r="I27" s="81">
        <f>SUM(I14:I26)</f>
        <v>-18905.600368048959</v>
      </c>
      <c r="J27" s="81">
        <f>SUM(J14:J26)</f>
        <v>-31613.260515821235</v>
      </c>
      <c r="K27" s="81">
        <f>SUM(K14:K26)</f>
        <v>-32742.213935076874</v>
      </c>
      <c r="L27" s="81">
        <f>SUM(L14:L26)</f>
        <v>-33917.314032522074</v>
      </c>
      <c r="M27" s="81">
        <f>SUM(M14:M26)</f>
        <v>-35096.918262510801</v>
      </c>
    </row>
    <row r="28" spans="1:13">
      <c r="A28" s="9"/>
      <c r="B28" s="62"/>
      <c r="C28" s="17"/>
      <c r="D28" s="10"/>
      <c r="E28" s="10"/>
      <c r="F28" s="10"/>
      <c r="G28" s="10"/>
      <c r="H28" s="10"/>
      <c r="I28" s="424"/>
      <c r="J28" s="17"/>
      <c r="K28" s="17"/>
      <c r="L28" s="17"/>
      <c r="M28" s="17"/>
    </row>
    <row r="29" spans="1:13" ht="15" thickBot="1">
      <c r="A29" s="9"/>
      <c r="B29" s="62"/>
      <c r="C29" s="17"/>
      <c r="D29" s="10"/>
      <c r="E29" s="10"/>
      <c r="F29" s="10"/>
      <c r="G29" s="10"/>
      <c r="H29" s="10"/>
      <c r="I29" s="17"/>
      <c r="J29" s="17"/>
      <c r="K29" s="17"/>
      <c r="L29" s="17"/>
      <c r="M29" s="17"/>
    </row>
    <row r="30" spans="1:13" ht="61" thickBot="1">
      <c r="A30" s="13" t="s">
        <v>6</v>
      </c>
      <c r="B30" s="63"/>
      <c r="C30" s="14" t="s">
        <v>93</v>
      </c>
      <c r="D30" s="174" t="str">
        <f>"WTE"&amp;" "&amp;D12</f>
        <v>WTE Option Five - Preferred Option</v>
      </c>
      <c r="E30" s="174" t="str">
        <f>"WTE"&amp;" "&amp;E12</f>
        <v>WTE Option Five - Preferred Option</v>
      </c>
      <c r="F30" s="174" t="str">
        <f>"WTE"&amp;" "&amp;F12</f>
        <v>WTE Option Five - Preferred Option</v>
      </c>
      <c r="G30" s="174" t="str">
        <f>"WTE"&amp;" "&amp;G12</f>
        <v>WTE Option Five - Preferred Option</v>
      </c>
      <c r="H30" s="398" t="str">
        <f>"WTE"&amp;" "&amp;H12</f>
        <v>WTE Option Five - Preferred Option</v>
      </c>
      <c r="I30" s="399" t="str">
        <f>I8</f>
        <v>Option Five - Preferred Option</v>
      </c>
      <c r="J30" s="400" t="str">
        <f>J8</f>
        <v>Option Five - Preferred Option</v>
      </c>
      <c r="K30" s="400" t="str">
        <f>K8</f>
        <v>Option Five - Preferred Option</v>
      </c>
      <c r="L30" s="400" t="str">
        <f>L8</f>
        <v>Option Five - Preferred Option</v>
      </c>
      <c r="M30" s="401" t="str">
        <f>M8</f>
        <v>Option Five - Preferred Option</v>
      </c>
    </row>
    <row r="31" spans="1:13">
      <c r="A31" s="13" t="s">
        <v>101</v>
      </c>
      <c r="B31" s="91"/>
      <c r="C31" s="14"/>
      <c r="D31" s="110"/>
      <c r="E31" s="110"/>
      <c r="F31" s="110"/>
      <c r="G31" s="110"/>
      <c r="H31" s="110"/>
      <c r="I31" s="92"/>
      <c r="J31" s="92"/>
      <c r="K31" s="92"/>
      <c r="L31" s="92"/>
      <c r="M31" s="92"/>
    </row>
    <row r="32" spans="1:13">
      <c r="A32" s="9" t="s">
        <v>211</v>
      </c>
      <c r="B32" s="3"/>
      <c r="C32" s="99"/>
      <c r="D32" s="102">
        <f>VLOOKUP($A32,'9c. Workforce Summary'!$A:$J,2,0)</f>
        <v>11.181267083333333</v>
      </c>
      <c r="E32" s="102">
        <f>VLOOKUP($A32,'9c. Workforce Summary'!$A:$J,4,0)</f>
        <v>18.386699999999998</v>
      </c>
      <c r="F32" s="102">
        <f>VLOOKUP($A32,'9c. Workforce Summary'!$A:$J,6,0)</f>
        <v>18.4994552</v>
      </c>
      <c r="G32" s="102">
        <f>VLOOKUP($A32,'9c. Workforce Summary'!$A:$J,8,0)</f>
        <v>18.628334393599999</v>
      </c>
      <c r="H32" s="102">
        <f>VLOOKUP($A32,'9c. Workforce Summary'!$A:$J,10,0)</f>
        <v>18.752244578291197</v>
      </c>
      <c r="I32" s="4">
        <f>VLOOKUP($A32,'9c. Workforce Summary'!$A:$J,3,0)</f>
        <v>395.22470279166669</v>
      </c>
      <c r="J32" s="4">
        <f>VLOOKUP($A32,'9c. Workforce Summary'!$A:$J,5,0)</f>
        <v>649.56529</v>
      </c>
      <c r="K32" s="4">
        <f>VLOOKUP($A32,'9c. Workforce Summary'!$A:$J,7,0)</f>
        <v>667.8719606200001</v>
      </c>
      <c r="L32" s="4">
        <f>VLOOKUP($A32,'9c. Workforce Summary'!$A:$J,9,0)</f>
        <v>687.25510128740007</v>
      </c>
      <c r="M32" s="4">
        <f>VLOOKUP($A32,'9c. Workforce Summary'!$A:$K,11,0)</f>
        <v>706.98129402666041</v>
      </c>
    </row>
    <row r="33" spans="1:19">
      <c r="A33" s="9" t="s">
        <v>212</v>
      </c>
      <c r="B33" s="3"/>
      <c r="C33" s="100"/>
      <c r="D33" s="102">
        <f>VLOOKUP($A33,'9c. Workforce Summary'!$A:$J,2,0)</f>
        <v>13.826722222222225</v>
      </c>
      <c r="E33" s="102">
        <f>VLOOKUP($A33,'9c. Workforce Summary'!$A:$J,4,0)</f>
        <v>24.643333333333334</v>
      </c>
      <c r="F33" s="102">
        <f>VLOOKUP($A33,'9c. Workforce Summary'!$A:$J,6,0)</f>
        <v>25.006426666666666</v>
      </c>
      <c r="G33" s="102">
        <f>VLOOKUP($A33,'9c. Workforce Summary'!$A:$J,8,0)</f>
        <v>25.421442346666669</v>
      </c>
      <c r="H33" s="102">
        <f>VLOOKUP($A33,'9c. Workforce Summary'!$A:$J,10,0)</f>
        <v>25.820456866559997</v>
      </c>
      <c r="I33" s="4">
        <f>VLOOKUP($A33,'9c. Workforce Summary'!$A:$J,3,0)</f>
        <v>714.12274861111121</v>
      </c>
      <c r="J33" s="4">
        <f>VLOOKUP($A33,'9c. Workforce Summary'!$A:$J,5,0)</f>
        <v>1275.6976666666667</v>
      </c>
      <c r="K33" s="4">
        <f>VLOOKUP($A33,'9c. Workforce Summary'!$A:$J,7,0)</f>
        <v>1322.1124180000002</v>
      </c>
      <c r="L33" s="4">
        <f>VLOOKUP($A33,'9c. Workforce Summary'!$A:$J,9,0)</f>
        <v>1372.6264061600002</v>
      </c>
      <c r="M33" s="4">
        <f>VLOOKUP($A33,'9c. Workforce Summary'!$A:$K,11,0)</f>
        <v>1423.87076846016</v>
      </c>
    </row>
    <row r="34" spans="1:19">
      <c r="A34" s="9" t="s">
        <v>115</v>
      </c>
      <c r="B34" s="3"/>
      <c r="C34" s="100"/>
      <c r="D34" s="102">
        <f>VLOOKUP($A34,'9c. Workforce Summary'!$A:$J,2,0)</f>
        <v>18.24429207109673</v>
      </c>
      <c r="E34" s="102">
        <f>VLOOKUP($A34,'9c. Workforce Summary'!$A:$J,4,0)</f>
        <v>26.997781725291741</v>
      </c>
      <c r="F34" s="102">
        <f>VLOOKUP($A34,'9c. Workforce Summary'!$A:$J,6,0)</f>
        <v>27.031509484928929</v>
      </c>
      <c r="G34" s="102">
        <f>VLOOKUP($A34,'9c. Workforce Summary'!$A:$J,8,0)</f>
        <v>27.070060314194233</v>
      </c>
      <c r="H34" s="102">
        <f>VLOOKUP($A34,'9c. Workforce Summary'!$A:$J,10,0)</f>
        <v>27.107124794820091</v>
      </c>
      <c r="I34" s="4">
        <f>VLOOKUP($A34,'9c. Workforce Summary'!$A:$J,3,0)</f>
        <v>2348.0804496426545</v>
      </c>
      <c r="J34" s="4">
        <f>VLOOKUP($A34,'9c. Workforce Summary'!$A:$J,5,0)</f>
        <v>3657.1870675844457</v>
      </c>
      <c r="K34" s="4">
        <f>VLOOKUP($A34,'9c. Workforce Summary'!$A:$J,7,0)</f>
        <v>3741.9426173146371</v>
      </c>
      <c r="L34" s="4">
        <f>VLOOKUP($A34,'9c. Workforce Summary'!$A:$J,9,0)</f>
        <v>3829.283683733212</v>
      </c>
      <c r="M34" s="4">
        <f>VLOOKUP($A34,'9c. Workforce Summary'!$A:$K,11,0)</f>
        <v>3918.457038878103</v>
      </c>
    </row>
    <row r="35" spans="1:19">
      <c r="A35" s="9" t="s">
        <v>213</v>
      </c>
      <c r="B35" s="3"/>
      <c r="C35" s="100"/>
      <c r="D35" s="102">
        <f>VLOOKUP($A35,'9c. Workforce Summary'!$A:$J,2,0)</f>
        <v>1.9833333333333334</v>
      </c>
      <c r="E35" s="102">
        <f>VLOOKUP($A35,'9c. Workforce Summary'!$A:$J,4,0)</f>
        <v>3.5</v>
      </c>
      <c r="F35" s="102">
        <f>VLOOKUP($A35,'9c. Workforce Summary'!$A:$J,6,0)</f>
        <v>3.5</v>
      </c>
      <c r="G35" s="102">
        <f>VLOOKUP($A35,'9c. Workforce Summary'!$A:$J,8,0)</f>
        <v>3.5</v>
      </c>
      <c r="H35" s="102">
        <f>VLOOKUP($A35,'9c. Workforce Summary'!$A:$J,10,0)</f>
        <v>3.5</v>
      </c>
      <c r="I35" s="4">
        <f>VLOOKUP($A35,'9c. Workforce Summary'!$A:$J,3,0)</f>
        <v>164.47666666666666</v>
      </c>
      <c r="J35" s="4">
        <f>VLOOKUP($A35,'9c. Workforce Summary'!$A:$J,5,0)</f>
        <v>314.3</v>
      </c>
      <c r="K35" s="4">
        <f>VLOOKUP($A35,'9c. Workforce Summary'!$A:$J,7,0)</f>
        <v>321.21460000000002</v>
      </c>
      <c r="L35" s="4">
        <f>VLOOKUP($A35,'9c. Workforce Summary'!$A:$J,9,0)</f>
        <v>328.28132120000004</v>
      </c>
      <c r="M35" s="4">
        <f>VLOOKUP($A35,'9c. Workforce Summary'!$A:$K,11,0)</f>
        <v>335.50351026640004</v>
      </c>
    </row>
    <row r="36" spans="1:19">
      <c r="A36" s="9" t="s">
        <v>214</v>
      </c>
      <c r="B36" s="3"/>
      <c r="C36" s="100"/>
      <c r="D36" s="102">
        <f>VLOOKUP($A36,'9c. Workforce Summary'!$A:$J,2,0)</f>
        <v>18.805237025745257</v>
      </c>
      <c r="E36" s="102">
        <f>VLOOKUP($A36,'9c. Workforce Summary'!$A:$J,4,0)</f>
        <v>27.475796747967479</v>
      </c>
      <c r="F36" s="102">
        <f>VLOOKUP($A36,'9c. Workforce Summary'!$A:$J,6,0)</f>
        <v>27.475796747967479</v>
      </c>
      <c r="G36" s="102">
        <f>VLOOKUP($A36,'9c. Workforce Summary'!$A:$J,8,0)</f>
        <v>27.475796747967479</v>
      </c>
      <c r="H36" s="102">
        <f>VLOOKUP($A36,'9c. Workforce Summary'!$A:$J,10,0)</f>
        <v>27.475796747967479</v>
      </c>
      <c r="I36" s="4">
        <f>VLOOKUP($A36,'9c. Workforce Summary'!$A:$J,3,0)</f>
        <v>1563.6597638389512</v>
      </c>
      <c r="J36" s="4">
        <f>VLOOKUP($A36,'9c. Workforce Summary'!$A:$J,5,0)</f>
        <v>2412.4876078048783</v>
      </c>
      <c r="K36" s="4">
        <f>VLOOKUP($A36,'9c. Workforce Summary'!$A:$J,7,0)</f>
        <v>2465.5623351765853</v>
      </c>
      <c r="L36" s="4">
        <f>VLOOKUP($A36,'9c. Workforce Summary'!$A:$J,9,0)</f>
        <v>2519.8047065504702</v>
      </c>
      <c r="M36" s="4">
        <f>VLOOKUP($A36,'9c. Workforce Summary'!$A:$K,11,0)</f>
        <v>2575.2404100945805</v>
      </c>
    </row>
    <row r="37" spans="1:19">
      <c r="A37" s="9" t="s">
        <v>215</v>
      </c>
      <c r="B37" s="3"/>
      <c r="C37" s="100"/>
      <c r="D37" s="102">
        <f>VLOOKUP($A37,'9c. Workforce Summary'!$A:$J,2,0)</f>
        <v>127.08792832593167</v>
      </c>
      <c r="E37" s="102">
        <f>VLOOKUP($A37,'9c. Workforce Summary'!$A:$J,4,0)</f>
        <v>233.29942390460999</v>
      </c>
      <c r="F37" s="102">
        <f>VLOOKUP($A37,'9c. Workforce Summary'!$A:$J,6,0)</f>
        <v>234.01657748157001</v>
      </c>
      <c r="G37" s="102">
        <f>VLOOKUP($A37,'9c. Workforce Summary'!$A:$J,8,0)</f>
        <v>234.83628402003529</v>
      </c>
      <c r="H37" s="102">
        <f>VLOOKUP($A37,'9c. Workforce Summary'!$A:$J,10,0)</f>
        <v>235.62438631751755</v>
      </c>
      <c r="I37" s="4">
        <f>VLOOKUP($A37,'9c. Workforce Summary'!$A:$J,3,0)</f>
        <v>5496.2773182114151</v>
      </c>
      <c r="J37" s="4">
        <f>VLOOKUP($A37,'9c. Workforce Summary'!$A:$J,5,0)</f>
        <v>10285.150411543194</v>
      </c>
      <c r="K37" s="4">
        <f>VLOOKUP($A37,'9c. Workforce Summary'!$A:$J,7,0)</f>
        <v>10541.519918725444</v>
      </c>
      <c r="L37" s="4">
        <f>VLOOKUP($A37,'9c. Workforce Summary'!$A:$J,9,0)</f>
        <v>10808.578192301726</v>
      </c>
      <c r="M37" s="4">
        <f>VLOOKUP($A37,'9c. Workforce Summary'!$A:$K,11,0)</f>
        <v>11080.886950823537</v>
      </c>
    </row>
    <row r="38" spans="1:19">
      <c r="A38" s="9" t="s">
        <v>216</v>
      </c>
      <c r="B38" s="3"/>
      <c r="C38" s="100"/>
      <c r="D38" s="102">
        <f>VLOOKUP($A38,'9c. Workforce Summary'!$A:$J,2,0)</f>
        <v>1.2673333333333334</v>
      </c>
      <c r="E38" s="102">
        <f>VLOOKUP($A38,'9c. Workforce Summary'!$A:$J,4,0)</f>
        <v>2.2149999999999999</v>
      </c>
      <c r="F38" s="102">
        <f>VLOOKUP($A38,'9c. Workforce Summary'!$A:$J,6,0)</f>
        <v>2.24444</v>
      </c>
      <c r="G38" s="102">
        <f>VLOOKUP($A38,'9c. Workforce Summary'!$A:$J,8,0)</f>
        <v>2.2780899200000002</v>
      </c>
      <c r="H38" s="102">
        <f>VLOOKUP($A38,'9c. Workforce Summary'!$A:$J,10,0)</f>
        <v>2.3104424486399999</v>
      </c>
      <c r="I38" s="4">
        <f>VLOOKUP($A38,'9c. Workforce Summary'!$A:$J,3,0)</f>
        <v>79.331983333333312</v>
      </c>
      <c r="J38" s="4">
        <f>VLOOKUP($A38,'9c. Workforce Summary'!$A:$J,5,0)</f>
        <v>129.79900000000001</v>
      </c>
      <c r="K38" s="4">
        <f>VLOOKUP($A38,'9c. Workforce Summary'!$A:$J,7,0)</f>
        <v>134.379762</v>
      </c>
      <c r="L38" s="4">
        <f>VLOOKUP($A38,'9c. Workforce Summary'!$A:$J,9,0)</f>
        <v>139.35070038000001</v>
      </c>
      <c r="M38" s="4">
        <f>VLOOKUP($A38,'9c. Workforce Summary'!$A:$K,11,0)</f>
        <v>144.39518458452</v>
      </c>
    </row>
    <row r="39" spans="1:19">
      <c r="A39" s="9" t="s">
        <v>225</v>
      </c>
      <c r="B39" s="3"/>
      <c r="C39" s="100"/>
      <c r="D39" s="102"/>
      <c r="E39" s="102"/>
      <c r="F39" s="102"/>
      <c r="G39" s="102"/>
      <c r="H39" s="102"/>
      <c r="I39" s="4" cm="1">
        <f t="array" ref="I39">SUM(D32:D38*0.04)*17*5/12</f>
        <v>54.512232128582163</v>
      </c>
      <c r="J39" s="4" cm="1">
        <f t="array" ref="J39">SUM(E32:E38*0.04)*17</f>
        <v>228.83226428361775</v>
      </c>
      <c r="K39" s="4" cm="1">
        <f t="array" ref="K39">SUM(F32:F38*0.04)*17*1.05</f>
        <v>241.17078278492903</v>
      </c>
      <c r="L39" s="4" cm="1">
        <f t="array" ref="L39">SUM(G32:G38*0.04)*17*1.1</f>
        <v>253.72908579136285</v>
      </c>
      <c r="M39" s="4" cm="1">
        <f t="array" ref="M39">SUM(H32:H38*0.04)*17*1.15</f>
        <v>266.34173327146868</v>
      </c>
    </row>
    <row r="40" spans="1:19">
      <c r="A40" s="9" t="s">
        <v>643</v>
      </c>
      <c r="B40" s="3"/>
      <c r="C40" s="100"/>
      <c r="D40" s="102"/>
      <c r="E40" s="102"/>
      <c r="F40" s="102"/>
      <c r="G40" s="102"/>
      <c r="H40" s="102"/>
      <c r="I40" s="4" cm="1">
        <f t="array" ref="I40">SUM(D32:D38*0.04)*2*5/12</f>
        <v>6.4132037798331964</v>
      </c>
      <c r="J40" s="4" cm="1">
        <f t="array" ref="J40">SUM(E32:E38*0.04)*2</f>
        <v>26.921442856896206</v>
      </c>
      <c r="K40" s="4" cm="1">
        <f t="array" ref="K40">SUM(F32:F38*0.04)*2*1.05</f>
        <v>28.373033268815178</v>
      </c>
      <c r="L40" s="4" cm="1">
        <f t="array" ref="L40">SUM(G32:G38*0.04)*2*1.1</f>
        <v>29.850480681336805</v>
      </c>
      <c r="M40" s="4" cm="1">
        <f t="array" ref="M40">SUM(H32:H38*0.04)*2*1.15</f>
        <v>31.33432156134926</v>
      </c>
    </row>
    <row r="41" spans="1:19">
      <c r="A41" s="9"/>
      <c r="B41" s="3"/>
      <c r="C41" s="100"/>
      <c r="D41" s="103"/>
      <c r="E41" s="104"/>
      <c r="F41" s="104"/>
      <c r="G41" s="104"/>
      <c r="H41" s="104"/>
      <c r="I41" s="4"/>
      <c r="J41" s="4"/>
      <c r="K41" s="426"/>
      <c r="L41" s="4"/>
      <c r="M41" s="4"/>
    </row>
    <row r="42" spans="1:19">
      <c r="A42" s="13" t="s">
        <v>102</v>
      </c>
      <c r="B42" s="4"/>
      <c r="C42" s="15"/>
      <c r="D42" s="115"/>
      <c r="E42" s="116"/>
      <c r="F42" s="116"/>
      <c r="G42" s="116"/>
      <c r="H42" s="116"/>
      <c r="I42" s="4"/>
      <c r="J42" s="4"/>
      <c r="K42" s="426"/>
      <c r="L42" s="4"/>
      <c r="M42" s="4"/>
    </row>
    <row r="43" spans="1:19">
      <c r="A43" s="9" t="s">
        <v>114</v>
      </c>
      <c r="B43" s="3"/>
      <c r="C43" s="100"/>
      <c r="D43" s="103"/>
      <c r="E43" s="104"/>
      <c r="F43" s="104"/>
      <c r="G43" s="104"/>
      <c r="H43" s="104"/>
      <c r="I43" s="4">
        <f>J43*((D16+D17)/(E16+E17))*0.89</f>
        <v>3954.8019118196589</v>
      </c>
      <c r="J43" s="4">
        <f>6662.92287212007-289</f>
        <v>6373.9228721200698</v>
      </c>
      <c r="K43" s="4">
        <f>J43*1.01*1.03</f>
        <v>6630.7919638665089</v>
      </c>
      <c r="L43" s="4">
        <f>K43*1.0134*1.03</f>
        <v>6921.2339134677904</v>
      </c>
      <c r="M43" s="4">
        <f>L43*1.0131*1.03</f>
        <v>7222.2591400662441</v>
      </c>
      <c r="O43" s="67"/>
    </row>
    <row r="44" spans="1:19">
      <c r="A44" s="9" t="s">
        <v>7</v>
      </c>
      <c r="B44" s="3"/>
      <c r="C44" s="100"/>
      <c r="D44" s="103"/>
      <c r="E44" s="104"/>
      <c r="F44" s="104"/>
      <c r="G44" s="104"/>
      <c r="H44" s="104"/>
      <c r="I44" s="4">
        <f>J44*((D17+D18)/(E17+E18))*0.89</f>
        <v>351.01528001905854</v>
      </c>
      <c r="J44" s="4">
        <v>530.91771415263031</v>
      </c>
      <c r="K44" s="4">
        <f>J44*1.01*1.03</f>
        <v>552.31369803298139</v>
      </c>
      <c r="L44" s="4">
        <f>K44*1.0134*1.03</f>
        <v>576.5061426342221</v>
      </c>
      <c r="M44" s="4">
        <f>L44*1.0131*1.03</f>
        <v>601.58012429581231</v>
      </c>
    </row>
    <row r="45" spans="1:19">
      <c r="A45" s="9" t="s">
        <v>217</v>
      </c>
      <c r="B45" s="3"/>
      <c r="C45" s="100"/>
      <c r="D45" s="103"/>
      <c r="E45" s="104"/>
      <c r="F45" s="104"/>
      <c r="G45" s="104"/>
      <c r="H45" s="104"/>
      <c r="I45" s="3">
        <f>SUM(I32:I44)*0.0921+1811.98-767.593074348196</f>
        <v>2437.6680132754382</v>
      </c>
      <c r="J45" s="3">
        <f>SUM(J32:J44)*0.0921+1811.98-388.843574028142</f>
        <v>3807.1247871106998</v>
      </c>
      <c r="K45" s="3">
        <f>SUM(K32:K44)*0.0921+1811.98-298.948154375676</f>
        <v>3967.2438551939736</v>
      </c>
      <c r="L45" s="3">
        <f>SUM(L32:L44)*0.0921+1811.98-202.358975001196</f>
        <v>4139.2856505174741</v>
      </c>
      <c r="M45" s="3">
        <f>SUM(M32:M44)*0.0921+1811.98-103.281622502735</f>
        <v>4315.7593063671493</v>
      </c>
      <c r="N45" s="67"/>
      <c r="O45" s="67"/>
      <c r="P45" s="67"/>
      <c r="Q45" s="67"/>
      <c r="R45" s="67"/>
      <c r="S45" s="67"/>
    </row>
    <row r="46" spans="1:19">
      <c r="A46" s="9" t="s">
        <v>218</v>
      </c>
      <c r="B46" s="3"/>
      <c r="C46" s="100"/>
      <c r="D46" s="103"/>
      <c r="E46" s="104"/>
      <c r="F46" s="104"/>
      <c r="G46" s="104"/>
      <c r="H46" s="104"/>
      <c r="I46" s="4">
        <f>((431.533478063637*2)/9)*5</f>
        <v>479.48164229293002</v>
      </c>
      <c r="J46" s="4">
        <f>549.827086032833*1.3</f>
        <v>714.77521184268289</v>
      </c>
      <c r="K46" s="4">
        <f>J46*1.01*1.03</f>
        <v>743.58065287994305</v>
      </c>
      <c r="L46" s="4">
        <f>K46*1.0134*1.03</f>
        <v>776.1509726373904</v>
      </c>
      <c r="M46" s="4">
        <f>L46*1.0131*1.03</f>
        <v>809.90810689030832</v>
      </c>
    </row>
    <row r="47" spans="1:19">
      <c r="A47" s="9" t="s">
        <v>640</v>
      </c>
      <c r="B47" s="3"/>
      <c r="C47" s="100"/>
      <c r="D47" s="103"/>
      <c r="E47" s="104"/>
      <c r="F47" s="104"/>
      <c r="G47" s="104"/>
      <c r="H47" s="104"/>
      <c r="I47" s="4">
        <f>J47*(5/12)*0.75</f>
        <v>33.125</v>
      </c>
      <c r="J47" s="4">
        <v>106</v>
      </c>
      <c r="K47" s="4">
        <f>J47*1.01*1.03</f>
        <v>110.2718</v>
      </c>
      <c r="L47" s="4">
        <f>K47*1.0134*1.03</f>
        <v>115.10192538360002</v>
      </c>
      <c r="M47" s="4">
        <f>L47*1.0131*1.03</f>
        <v>120.10805342430892</v>
      </c>
    </row>
    <row r="48" spans="1:19">
      <c r="A48" s="9"/>
      <c r="B48" s="3"/>
      <c r="C48" s="100"/>
      <c r="D48" s="103"/>
      <c r="E48" s="104"/>
      <c r="F48" s="104"/>
      <c r="G48" s="104"/>
      <c r="H48" s="104"/>
      <c r="I48" s="4"/>
      <c r="J48" s="4"/>
      <c r="K48" s="4"/>
      <c r="L48" s="4"/>
      <c r="M48" s="4"/>
    </row>
    <row r="49" spans="1:13">
      <c r="A49" s="13" t="s">
        <v>484</v>
      </c>
      <c r="B49" s="4"/>
      <c r="C49" s="15"/>
      <c r="D49" s="115"/>
      <c r="E49" s="116"/>
      <c r="F49" s="116"/>
      <c r="G49" s="116"/>
      <c r="H49" s="116"/>
      <c r="I49" s="4"/>
      <c r="J49" s="4"/>
      <c r="K49" s="4"/>
      <c r="L49" s="4"/>
      <c r="M49" s="4"/>
    </row>
    <row r="50" spans="1:13">
      <c r="A50" s="9" t="s">
        <v>223</v>
      </c>
      <c r="B50" s="3"/>
      <c r="C50" s="100"/>
      <c r="D50" s="103"/>
      <c r="E50" s="104"/>
      <c r="F50" s="104"/>
      <c r="G50" s="104"/>
      <c r="H50" s="104"/>
      <c r="I50" s="4">
        <v>-2194.2029120223542</v>
      </c>
      <c r="J50" s="4">
        <v>-3672.9759016830176</v>
      </c>
      <c r="K50" s="4">
        <v>-3672.9759016830176</v>
      </c>
      <c r="L50" s="4">
        <v>-3672.9759016830176</v>
      </c>
      <c r="M50" s="4">
        <v>-3672.9759016830176</v>
      </c>
    </row>
    <row r="51" spans="1:13">
      <c r="A51" s="9"/>
      <c r="B51" s="3"/>
      <c r="C51" s="100"/>
      <c r="D51" s="103"/>
      <c r="E51" s="104"/>
      <c r="F51" s="104"/>
      <c r="G51" s="104"/>
      <c r="H51" s="104"/>
      <c r="I51" s="4"/>
      <c r="J51" s="4"/>
      <c r="K51" s="4"/>
      <c r="L51" s="4"/>
      <c r="M51" s="4"/>
    </row>
    <row r="52" spans="1:13">
      <c r="A52" s="13" t="s">
        <v>267</v>
      </c>
      <c r="B52" s="3"/>
      <c r="C52" s="100"/>
      <c r="D52" s="103"/>
      <c r="E52" s="104"/>
      <c r="F52" s="104"/>
      <c r="G52" s="104"/>
      <c r="H52" s="104"/>
      <c r="I52" s="4"/>
      <c r="J52" s="4"/>
      <c r="K52" s="4"/>
      <c r="L52" s="4"/>
      <c r="M52" s="4"/>
    </row>
    <row r="53" spans="1:13">
      <c r="A53" s="9" t="s">
        <v>485</v>
      </c>
      <c r="B53" s="3"/>
      <c r="C53" s="100"/>
      <c r="D53" s="103"/>
      <c r="E53" s="104"/>
      <c r="F53" s="104"/>
      <c r="G53" s="104"/>
      <c r="H53" s="104"/>
      <c r="I53" s="4">
        <f>'8b. Residual Overhead Costs'!B5</f>
        <v>2072</v>
      </c>
      <c r="J53" s="4"/>
      <c r="K53" s="4"/>
      <c r="L53" s="4"/>
      <c r="M53" s="4"/>
    </row>
    <row r="54" spans="1:13">
      <c r="A54" s="9"/>
      <c r="B54" s="3"/>
      <c r="C54" s="100"/>
      <c r="D54" s="103"/>
      <c r="E54" s="104"/>
      <c r="F54" s="104"/>
      <c r="G54" s="104"/>
      <c r="H54" s="104"/>
      <c r="I54" s="4"/>
      <c r="J54" s="4"/>
      <c r="K54" s="4"/>
      <c r="L54" s="4"/>
      <c r="M54" s="4"/>
    </row>
    <row r="55" spans="1:13">
      <c r="A55" s="13" t="s">
        <v>483</v>
      </c>
      <c r="B55" s="3"/>
      <c r="C55" s="100"/>
      <c r="D55" s="103"/>
      <c r="E55" s="104"/>
      <c r="F55" s="104"/>
      <c r="G55" s="104"/>
      <c r="H55" s="104"/>
      <c r="I55" s="4"/>
      <c r="J55" s="4"/>
      <c r="K55" s="4"/>
      <c r="L55" s="4"/>
      <c r="M55" s="4"/>
    </row>
    <row r="56" spans="1:13">
      <c r="A56" s="9" t="s">
        <v>486</v>
      </c>
      <c r="B56" s="3"/>
      <c r="C56" s="100"/>
      <c r="D56" s="103"/>
      <c r="E56" s="104"/>
      <c r="F56" s="104"/>
      <c r="G56" s="104"/>
      <c r="H56" s="104"/>
      <c r="I56" s="4">
        <v>467</v>
      </c>
      <c r="J56" s="4"/>
      <c r="K56" s="4"/>
      <c r="L56" s="4"/>
      <c r="M56" s="4"/>
    </row>
    <row r="57" spans="1:13">
      <c r="A57" s="9"/>
      <c r="B57" s="3"/>
      <c r="C57" s="100"/>
      <c r="D57" s="103"/>
      <c r="E57" s="104"/>
      <c r="F57" s="104"/>
      <c r="G57" s="104"/>
      <c r="H57" s="104"/>
      <c r="I57" s="4"/>
      <c r="J57" s="4"/>
      <c r="K57" s="4"/>
      <c r="L57" s="4"/>
      <c r="M57" s="4"/>
    </row>
    <row r="58" spans="1:13">
      <c r="A58" s="13" t="s">
        <v>104</v>
      </c>
      <c r="B58" s="4"/>
      <c r="C58" s="15"/>
      <c r="D58" s="115"/>
      <c r="E58" s="116"/>
      <c r="F58" s="116"/>
      <c r="G58" s="116"/>
      <c r="H58" s="116"/>
      <c r="I58" s="4"/>
      <c r="J58" s="4"/>
      <c r="K58" s="4"/>
      <c r="L58" s="4"/>
      <c r="M58" s="4"/>
    </row>
    <row r="59" spans="1:13">
      <c r="A59" s="9" t="s">
        <v>103</v>
      </c>
      <c r="B59" s="4"/>
      <c r="C59" s="100"/>
      <c r="D59" s="103"/>
      <c r="E59" s="104"/>
      <c r="F59" s="104"/>
      <c r="G59" s="104"/>
      <c r="H59" s="104"/>
      <c r="I59" s="4"/>
      <c r="J59" s="4"/>
      <c r="K59" s="4"/>
      <c r="L59" s="4"/>
      <c r="M59" s="4"/>
    </row>
    <row r="60" spans="1:13">
      <c r="A60" s="9" t="s">
        <v>8</v>
      </c>
      <c r="B60" s="3">
        <v>0</v>
      </c>
      <c r="C60" s="101"/>
      <c r="D60" s="105"/>
      <c r="E60" s="105"/>
      <c r="F60" s="105"/>
      <c r="G60" s="105"/>
      <c r="H60" s="105"/>
      <c r="I60" s="22">
        <f>'5. Capital'!I49*(5/12)</f>
        <v>209.3705907714286</v>
      </c>
      <c r="J60" s="22">
        <f>'5. Capital'!N49</f>
        <v>502.48941785142864</v>
      </c>
      <c r="K60" s="22">
        <f>'5. Capital'!S49</f>
        <v>502.48941785142864</v>
      </c>
      <c r="L60" s="22">
        <f>'5. Capital'!X49</f>
        <v>502.48941785142864</v>
      </c>
      <c r="M60" s="22">
        <f>'5. Capital'!AC49</f>
        <v>502.48941785142864</v>
      </c>
    </row>
    <row r="61" spans="1:13">
      <c r="A61" s="9" t="s">
        <v>9</v>
      </c>
      <c r="B61" s="3">
        <v>0</v>
      </c>
      <c r="C61" s="101"/>
      <c r="D61" s="105"/>
      <c r="E61" s="105"/>
      <c r="F61" s="105"/>
      <c r="G61" s="105"/>
      <c r="H61" s="105"/>
      <c r="I61" s="22">
        <f>'5. Capital'!K49*(5/12)</f>
        <v>133.59478158650003</v>
      </c>
      <c r="J61" s="22">
        <f>'5. Capital'!P49</f>
        <v>303.04034618280008</v>
      </c>
      <c r="K61" s="22">
        <f>'5. Capital'!U49</f>
        <v>285.45321655800007</v>
      </c>
      <c r="L61" s="22">
        <f>'5. Capital'!Z49</f>
        <v>267.86608693320005</v>
      </c>
      <c r="M61" s="22">
        <f>'5. Capital'!AE49</f>
        <v>250.27895730840007</v>
      </c>
    </row>
    <row r="62" spans="1:13" ht="15" thickBot="1">
      <c r="A62" s="9" t="s">
        <v>95</v>
      </c>
      <c r="B62" s="61">
        <f>SUM(B32:B61)</f>
        <v>0</v>
      </c>
      <c r="C62" s="15"/>
      <c r="D62" s="106">
        <f t="shared" ref="D62:M62" si="2">SUM(D32:D61)</f>
        <v>192.39611339499589</v>
      </c>
      <c r="E62" s="106">
        <f t="shared" si="2"/>
        <v>336.51803571120251</v>
      </c>
      <c r="F62" s="106">
        <f t="shared" si="2"/>
        <v>337.77420558113312</v>
      </c>
      <c r="G62" s="106">
        <f t="shared" si="2"/>
        <v>339.21000774246369</v>
      </c>
      <c r="H62" s="106">
        <f t="shared" si="2"/>
        <v>340.59045175379634</v>
      </c>
      <c r="I62" s="61">
        <f t="shared" si="2"/>
        <v>18765.953376746871</v>
      </c>
      <c r="J62" s="61">
        <f t="shared" si="2"/>
        <v>27645.235198316994</v>
      </c>
      <c r="K62" s="61">
        <f t="shared" si="2"/>
        <v>28583.316130590225</v>
      </c>
      <c r="L62" s="61">
        <f t="shared" si="2"/>
        <v>29594.417885827595</v>
      </c>
      <c r="M62" s="61">
        <f t="shared" si="2"/>
        <v>30632.418416487406</v>
      </c>
    </row>
    <row r="63" spans="1:13">
      <c r="A63" s="9"/>
      <c r="B63" s="64"/>
      <c r="C63" s="9"/>
      <c r="D63" s="19"/>
      <c r="E63" s="19"/>
      <c r="F63" s="19"/>
      <c r="G63" s="19"/>
      <c r="H63" s="19"/>
      <c r="I63" s="9"/>
      <c r="J63" s="9"/>
      <c r="K63" s="9"/>
      <c r="L63" s="9"/>
      <c r="M63" s="9"/>
    </row>
    <row r="64" spans="1:13">
      <c r="A64" s="9" t="s">
        <v>40</v>
      </c>
      <c r="B64" s="57">
        <f>B62+B27</f>
        <v>0</v>
      </c>
      <c r="C64" s="16"/>
      <c r="D64" s="19"/>
      <c r="E64" s="19"/>
      <c r="F64" s="19"/>
      <c r="G64" s="19"/>
      <c r="H64" s="19"/>
      <c r="I64" s="57">
        <f>I62+I27</f>
        <v>-139.64699130208828</v>
      </c>
      <c r="J64" s="57">
        <f>J62+J27</f>
        <v>-3968.0253175042417</v>
      </c>
      <c r="K64" s="57">
        <f>K62+K27</f>
        <v>-4158.897804486649</v>
      </c>
      <c r="L64" s="57">
        <f>L62+L27</f>
        <v>-4322.8961466944784</v>
      </c>
      <c r="M64" s="57">
        <f>M62+M27</f>
        <v>-4464.4998460233946</v>
      </c>
    </row>
    <row r="65" spans="1:13">
      <c r="D65" s="19"/>
      <c r="I65" s="421"/>
      <c r="J65" s="421"/>
      <c r="K65" s="421"/>
      <c r="L65" s="421"/>
      <c r="M65" s="421"/>
    </row>
    <row r="67" spans="1:13">
      <c r="A67" s="1" t="s">
        <v>82</v>
      </c>
      <c r="I67" s="21">
        <f>-I60-I61</f>
        <v>-342.96537235792863</v>
      </c>
      <c r="J67" s="21">
        <f t="shared" ref="J67:M67" si="3">-J60-J61</f>
        <v>-805.52976403422872</v>
      </c>
      <c r="K67" s="21">
        <f t="shared" si="3"/>
        <v>-787.94263440942871</v>
      </c>
      <c r="L67" s="21">
        <f t="shared" si="3"/>
        <v>-770.35550478462869</v>
      </c>
      <c r="M67" s="21">
        <f t="shared" si="3"/>
        <v>-752.76837515982868</v>
      </c>
    </row>
    <row r="68" spans="1:13">
      <c r="A68" s="1" t="s">
        <v>41</v>
      </c>
      <c r="F68" s="180"/>
      <c r="G68" s="180"/>
      <c r="H68" s="180"/>
      <c r="I68" s="34">
        <f>I67+I64</f>
        <v>-482.61236366001691</v>
      </c>
      <c r="J68" s="34">
        <f t="shared" ref="J68:M68" si="4">J67+J64</f>
        <v>-4773.5550815384704</v>
      </c>
      <c r="K68" s="34">
        <f t="shared" si="4"/>
        <v>-4946.840438896078</v>
      </c>
      <c r="L68" s="34">
        <f t="shared" si="4"/>
        <v>-5093.2516514791068</v>
      </c>
      <c r="M68" s="34">
        <f t="shared" si="4"/>
        <v>-5217.2682211832234</v>
      </c>
    </row>
    <row r="69" spans="1:13">
      <c r="F69" s="180"/>
      <c r="G69" s="180"/>
      <c r="H69" s="180"/>
    </row>
    <row r="70" spans="1:13">
      <c r="F70" s="180"/>
      <c r="G70" s="180"/>
      <c r="H70" s="180"/>
    </row>
    <row r="71" spans="1:13">
      <c r="F71" s="180"/>
      <c r="G71" s="180"/>
      <c r="H71" s="180"/>
    </row>
    <row r="72" spans="1:13">
      <c r="A72" s="24" t="s">
        <v>107</v>
      </c>
      <c r="F72" s="180"/>
      <c r="G72" s="180"/>
      <c r="H72" s="180"/>
    </row>
    <row r="73" spans="1:13">
      <c r="A73" s="1" t="s">
        <v>106</v>
      </c>
      <c r="F73" s="180"/>
      <c r="G73" s="180"/>
      <c r="H73" s="180"/>
      <c r="I73" s="67">
        <f>I27</f>
        <v>-18905.600368048959</v>
      </c>
      <c r="J73" s="67">
        <f>J27</f>
        <v>-31613.260515821235</v>
      </c>
      <c r="K73" s="67">
        <f>K27</f>
        <v>-32742.213935076874</v>
      </c>
      <c r="L73" s="67">
        <f>L27</f>
        <v>-33917.314032522074</v>
      </c>
      <c r="M73" s="67">
        <f>M27</f>
        <v>-35096.918262510801</v>
      </c>
    </row>
    <row r="74" spans="1:13">
      <c r="A74" s="1" t="s">
        <v>101</v>
      </c>
      <c r="F74" s="180"/>
      <c r="G74" s="180"/>
      <c r="H74" s="180"/>
      <c r="I74" s="67">
        <f>SUM(I32:I39)</f>
        <v>10815.685865224379</v>
      </c>
      <c r="J74" s="67">
        <f>SUM(J32:J39)</f>
        <v>18953.019307882802</v>
      </c>
      <c r="K74" s="67">
        <f>SUM(K32:K39)</f>
        <v>19435.774394621596</v>
      </c>
      <c r="L74" s="67">
        <f>SUM(L32:L39)</f>
        <v>19938.909197404169</v>
      </c>
      <c r="M74" s="67">
        <f>SUM(M32:M39)</f>
        <v>20451.676890405426</v>
      </c>
    </row>
    <row r="75" spans="1:13">
      <c r="A75" s="1" t="s">
        <v>102</v>
      </c>
      <c r="F75" s="180"/>
      <c r="G75" s="180"/>
      <c r="H75" s="180"/>
      <c r="I75" s="67">
        <f>SUM(I43:I51)</f>
        <v>5061.8889353847317</v>
      </c>
      <c r="J75" s="67">
        <f>SUM(J43:J51)</f>
        <v>7859.764683543066</v>
      </c>
      <c r="K75" s="67">
        <f>SUM(K43:K51)</f>
        <v>8331.2260682903889</v>
      </c>
      <c r="L75" s="67">
        <f>SUM(L43:L51)</f>
        <v>8855.3027029574587</v>
      </c>
      <c r="M75" s="67">
        <f>SUM(M43:M51)</f>
        <v>9396.6388293608052</v>
      </c>
    </row>
    <row r="76" spans="1:13">
      <c r="A76" s="1" t="s">
        <v>105</v>
      </c>
      <c r="F76" s="180"/>
      <c r="G76" s="180"/>
      <c r="H76" s="180"/>
      <c r="I76" s="67">
        <f t="shared" ref="I76:M76" si="5">SUM(I59:I61)</f>
        <v>342.96537235792863</v>
      </c>
      <c r="J76" s="67">
        <f t="shared" si="5"/>
        <v>805.52976403422872</v>
      </c>
      <c r="K76" s="67">
        <f t="shared" si="5"/>
        <v>787.94263440942871</v>
      </c>
      <c r="L76" s="67">
        <f t="shared" si="5"/>
        <v>770.35550478462869</v>
      </c>
      <c r="M76" s="67">
        <f t="shared" si="5"/>
        <v>752.76837515982868</v>
      </c>
    </row>
    <row r="77" spans="1:13">
      <c r="F77" s="180"/>
      <c r="G77" s="180"/>
      <c r="H77" s="180"/>
    </row>
    <row r="78" spans="1:13">
      <c r="F78" s="180"/>
      <c r="G78" s="180"/>
      <c r="H78" s="180"/>
      <c r="J78" s="67">
        <f>SUM(J32:J39)+J45</f>
        <v>22760.144094993502</v>
      </c>
      <c r="K78" s="67">
        <f>SUM(K32:K39)+K45</f>
        <v>23403.01824981557</v>
      </c>
      <c r="L78" s="67">
        <f>SUM(L32:L39)+L45</f>
        <v>24078.194847921644</v>
      </c>
      <c r="M78" s="67">
        <f>SUM(M32:M39)+M45</f>
        <v>24767.436196772574</v>
      </c>
    </row>
    <row r="79" spans="1:13">
      <c r="J79" s="67">
        <f>J62*0.012</f>
        <v>331.74282237980395</v>
      </c>
      <c r="K79" s="67">
        <f>K78-J78</f>
        <v>642.87415482206779</v>
      </c>
      <c r="L79" s="67">
        <f>L78-K78</f>
        <v>675.17659810607438</v>
      </c>
      <c r="M79" s="67">
        <f>M78-L78</f>
        <v>689.24134885093008</v>
      </c>
    </row>
    <row r="80" spans="1:13">
      <c r="J80" s="1">
        <f>J79/J62</f>
        <v>1.2E-2</v>
      </c>
      <c r="K80" s="1">
        <f>K79/K62</f>
        <v>2.2491237611651917E-2</v>
      </c>
      <c r="L80" s="1">
        <f>L79/L62</f>
        <v>2.2814322643913473E-2</v>
      </c>
      <c r="M80" s="1">
        <f>M79/M62</f>
        <v>2.2500389602929851E-2</v>
      </c>
    </row>
    <row r="84" spans="9:13">
      <c r="J84" s="50"/>
      <c r="K84" s="50"/>
      <c r="L84" s="50"/>
      <c r="M84" s="50"/>
    </row>
    <row r="85" spans="9:13">
      <c r="I85" s="23"/>
      <c r="J85" s="279"/>
      <c r="K85" s="279"/>
      <c r="L85" s="279"/>
      <c r="M85" s="279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E80"/>
  <sheetViews>
    <sheetView topLeftCell="A8" workbookViewId="0">
      <selection activeCell="F41" sqref="F41"/>
    </sheetView>
  </sheetViews>
  <sheetFormatPr baseColWidth="10" defaultColWidth="9.1640625" defaultRowHeight="14"/>
  <cols>
    <col min="1" max="1" width="4.83203125" style="1" customWidth="1"/>
    <col min="2" max="2" width="55.6640625" style="1" customWidth="1"/>
    <col min="3" max="3" width="8.83203125" style="1" customWidth="1"/>
    <col min="4" max="4" width="7.1640625" style="23" customWidth="1"/>
    <col min="5" max="5" width="9" style="23" customWidth="1"/>
    <col min="6" max="6" width="13.33203125" style="1" customWidth="1"/>
    <col min="7" max="7" width="3.5" style="1" customWidth="1"/>
    <col min="8" max="11" width="9.6640625" style="1" customWidth="1"/>
    <col min="12" max="12" width="3" style="1" customWidth="1"/>
    <col min="13" max="16" width="9.6640625" style="1" customWidth="1"/>
    <col min="17" max="17" width="1" style="1" customWidth="1"/>
    <col min="18" max="18" width="9.83203125" style="1" bestFit="1" customWidth="1"/>
    <col min="19" max="19" width="9.1640625" style="1"/>
    <col min="20" max="20" width="9.83203125" style="1" bestFit="1" customWidth="1"/>
    <col min="21" max="21" width="9.1640625" style="1"/>
    <col min="22" max="22" width="1.6640625" style="1" customWidth="1"/>
    <col min="23" max="23" width="9.83203125" style="1" bestFit="1" customWidth="1"/>
    <col min="24" max="24" width="9.1640625" style="1"/>
    <col min="25" max="25" width="9.83203125" style="1" bestFit="1" customWidth="1"/>
    <col min="26" max="26" width="9.1640625" style="1"/>
    <col min="27" max="27" width="2.1640625" style="1" customWidth="1"/>
    <col min="28" max="28" width="9.83203125" style="1" bestFit="1" customWidth="1"/>
    <col min="29" max="29" width="9.1640625" style="1"/>
    <col min="30" max="30" width="9.83203125" style="1" bestFit="1" customWidth="1"/>
    <col min="31" max="16384" width="9.1640625" style="1"/>
  </cols>
  <sheetData>
    <row r="1" spans="2:31">
      <c r="B1" s="1" t="s">
        <v>0</v>
      </c>
    </row>
    <row r="2" spans="2:31">
      <c r="B2" s="1" t="s">
        <v>1</v>
      </c>
    </row>
    <row r="3" spans="2:31">
      <c r="B3" s="1" t="s">
        <v>30</v>
      </c>
    </row>
    <row r="4" spans="2:31">
      <c r="B4" s="1" t="s">
        <v>10</v>
      </c>
      <c r="D4" s="67"/>
      <c r="E4" s="67"/>
    </row>
    <row r="5" spans="2:31" ht="16">
      <c r="B5" s="79" t="str">
        <f>'3. Summary'!$C$5</f>
        <v>North West London Elective Orthopaedic Centre (at CMH)</v>
      </c>
    </row>
    <row r="6" spans="2:31" ht="16">
      <c r="B6" s="90">
        <f>'2. Standing data'!C19</f>
        <v>44965</v>
      </c>
      <c r="F6" s="33" t="s">
        <v>52</v>
      </c>
    </row>
    <row r="7" spans="2:31">
      <c r="F7" s="33" t="s">
        <v>53</v>
      </c>
      <c r="H7" s="49" t="s">
        <v>46</v>
      </c>
    </row>
    <row r="8" spans="2:31">
      <c r="F8" s="33" t="s">
        <v>54</v>
      </c>
    </row>
    <row r="9" spans="2:31" ht="15" hidden="1">
      <c r="B9" s="49" t="s">
        <v>36</v>
      </c>
      <c r="F9" s="25" t="s">
        <v>55</v>
      </c>
      <c r="H9" s="25" t="s">
        <v>21</v>
      </c>
      <c r="I9" s="25" t="s">
        <v>21</v>
      </c>
      <c r="J9" s="25" t="s">
        <v>21</v>
      </c>
      <c r="K9" s="25" t="s">
        <v>21</v>
      </c>
      <c r="M9" s="25" t="s">
        <v>22</v>
      </c>
      <c r="N9" s="25" t="s">
        <v>22</v>
      </c>
      <c r="O9" s="25" t="s">
        <v>22</v>
      </c>
      <c r="P9" s="25" t="s">
        <v>22</v>
      </c>
      <c r="R9" s="25" t="s">
        <v>23</v>
      </c>
      <c r="S9" s="25" t="s">
        <v>23</v>
      </c>
      <c r="T9" s="25" t="s">
        <v>23</v>
      </c>
      <c r="U9" s="25" t="s">
        <v>23</v>
      </c>
      <c r="W9" s="25" t="s">
        <v>24</v>
      </c>
      <c r="X9" s="25" t="s">
        <v>24</v>
      </c>
      <c r="Y9" s="25" t="s">
        <v>24</v>
      </c>
      <c r="Z9" s="25" t="s">
        <v>24</v>
      </c>
      <c r="AB9" s="25" t="s">
        <v>25</v>
      </c>
      <c r="AC9" s="25" t="s">
        <v>25</v>
      </c>
      <c r="AD9" s="25" t="s">
        <v>25</v>
      </c>
      <c r="AE9" s="25" t="s">
        <v>25</v>
      </c>
    </row>
    <row r="10" spans="2:31" ht="15" hidden="1">
      <c r="B10" s="60" t="str">
        <f>'2. Standing data'!C13</f>
        <v xml:space="preserve"> Do Nothing+  -  Current Model plus Joint Weeks (POC)</v>
      </c>
      <c r="F10" s="45"/>
      <c r="H10" s="45"/>
      <c r="I10" s="45"/>
      <c r="J10" s="45"/>
      <c r="K10" s="46"/>
      <c r="M10" s="45"/>
      <c r="N10" s="45"/>
      <c r="O10" s="45"/>
      <c r="P10" s="46"/>
      <c r="R10" s="45"/>
      <c r="S10" s="45"/>
      <c r="T10" s="45"/>
      <c r="U10" s="46"/>
      <c r="W10" s="45"/>
      <c r="X10" s="45"/>
      <c r="Y10" s="45"/>
      <c r="Z10" s="46"/>
      <c r="AB10" s="45"/>
      <c r="AC10" s="45"/>
      <c r="AD10" s="45"/>
      <c r="AE10" s="46"/>
    </row>
    <row r="11" spans="2:31" ht="15" hidden="1">
      <c r="C11" s="1" t="s">
        <v>73</v>
      </c>
      <c r="D11" s="23" t="s">
        <v>45</v>
      </c>
      <c r="E11" s="23" t="s">
        <v>93</v>
      </c>
      <c r="F11" s="26" t="s">
        <v>26</v>
      </c>
      <c r="H11" s="26" t="s">
        <v>26</v>
      </c>
      <c r="I11" s="26" t="s">
        <v>26</v>
      </c>
      <c r="J11" s="26" t="s">
        <v>26</v>
      </c>
      <c r="K11" s="31" t="s">
        <v>26</v>
      </c>
      <c r="M11" s="26" t="s">
        <v>26</v>
      </c>
      <c r="N11" s="26" t="s">
        <v>26</v>
      </c>
      <c r="O11" s="26" t="s">
        <v>26</v>
      </c>
      <c r="P11" s="31" t="s">
        <v>26</v>
      </c>
      <c r="R11" s="26" t="s">
        <v>26</v>
      </c>
      <c r="S11" s="26" t="s">
        <v>26</v>
      </c>
      <c r="T11" s="26" t="s">
        <v>26</v>
      </c>
      <c r="U11" s="31" t="s">
        <v>26</v>
      </c>
      <c r="W11" s="26" t="s">
        <v>26</v>
      </c>
      <c r="X11" s="26" t="s">
        <v>26</v>
      </c>
      <c r="Y11" s="26" t="s">
        <v>26</v>
      </c>
      <c r="Z11" s="31" t="s">
        <v>26</v>
      </c>
      <c r="AB11" s="26" t="s">
        <v>26</v>
      </c>
      <c r="AC11" s="26" t="s">
        <v>26</v>
      </c>
      <c r="AD11" s="26" t="s">
        <v>26</v>
      </c>
      <c r="AE11" s="31" t="s">
        <v>26</v>
      </c>
    </row>
    <row r="12" spans="2:31" hidden="1">
      <c r="B12" s="24"/>
      <c r="C12" s="24"/>
      <c r="F12" s="29"/>
      <c r="H12" s="30" t="s">
        <v>47</v>
      </c>
      <c r="I12" s="30" t="s">
        <v>48</v>
      </c>
      <c r="J12" s="30" t="s">
        <v>50</v>
      </c>
      <c r="K12" s="32" t="s">
        <v>51</v>
      </c>
      <c r="M12" s="30" t="s">
        <v>47</v>
      </c>
      <c r="N12" s="30" t="s">
        <v>48</v>
      </c>
      <c r="O12" s="30" t="s">
        <v>50</v>
      </c>
      <c r="P12" s="32" t="s">
        <v>51</v>
      </c>
      <c r="R12" s="30" t="s">
        <v>47</v>
      </c>
      <c r="S12" s="30" t="s">
        <v>48</v>
      </c>
      <c r="T12" s="30" t="s">
        <v>50</v>
      </c>
      <c r="U12" s="32" t="s">
        <v>51</v>
      </c>
      <c r="W12" s="30" t="s">
        <v>47</v>
      </c>
      <c r="X12" s="30" t="s">
        <v>48</v>
      </c>
      <c r="Y12" s="30" t="s">
        <v>50</v>
      </c>
      <c r="Z12" s="32" t="s">
        <v>51</v>
      </c>
      <c r="AB12" s="30" t="s">
        <v>47</v>
      </c>
      <c r="AC12" s="30" t="s">
        <v>48</v>
      </c>
      <c r="AD12" s="30" t="s">
        <v>50</v>
      </c>
      <c r="AE12" s="32" t="s">
        <v>51</v>
      </c>
    </row>
    <row r="13" spans="2:31" ht="12.75" hidden="1" customHeight="1">
      <c r="B13" s="24"/>
      <c r="C13" s="1" t="s">
        <v>75</v>
      </c>
      <c r="D13" s="23">
        <v>25</v>
      </c>
      <c r="F13" s="3"/>
      <c r="H13" s="4">
        <f t="shared" ref="H13:H20" si="0">F13</f>
        <v>0</v>
      </c>
      <c r="I13" s="4">
        <f t="shared" ref="I13:I20" si="1">$F13/$D13</f>
        <v>0</v>
      </c>
      <c r="J13" s="4">
        <f t="shared" ref="J13:J20" si="2">F13-I13</f>
        <v>0</v>
      </c>
      <c r="K13" s="15">
        <f t="shared" ref="K13:K20" si="3">((H13+J13)/2)*0.035</f>
        <v>0</v>
      </c>
      <c r="M13" s="4">
        <f t="shared" ref="M13:M20" si="4">J13</f>
        <v>0</v>
      </c>
      <c r="N13" s="4">
        <f t="shared" ref="N13:N20" si="5">$F13/$D13</f>
        <v>0</v>
      </c>
      <c r="O13" s="4">
        <f t="shared" ref="O13:O20" si="6">M13-N13</f>
        <v>0</v>
      </c>
      <c r="P13" s="15">
        <f t="shared" ref="P13:P20" si="7">((M13+O13)/2)*0.035</f>
        <v>0</v>
      </c>
      <c r="R13" s="4">
        <f t="shared" ref="R13:R20" si="8">O13</f>
        <v>0</v>
      </c>
      <c r="S13" s="4">
        <f t="shared" ref="S13:S20" si="9">$F13/$D13</f>
        <v>0</v>
      </c>
      <c r="T13" s="4">
        <f t="shared" ref="T13:T20" si="10">R13-S13</f>
        <v>0</v>
      </c>
      <c r="U13" s="15">
        <f t="shared" ref="U13:U20" si="11">((R13+T13)/2)*0.035</f>
        <v>0</v>
      </c>
      <c r="W13" s="4">
        <f t="shared" ref="W13:W20" si="12">T13</f>
        <v>0</v>
      </c>
      <c r="X13" s="4">
        <f t="shared" ref="X13:X20" si="13">$F13/$D13</f>
        <v>0</v>
      </c>
      <c r="Y13" s="4">
        <f t="shared" ref="Y13:Y20" si="14">W13-X13</f>
        <v>0</v>
      </c>
      <c r="Z13" s="15">
        <f t="shared" ref="Z13:Z20" si="15">((W13+Y13)/2)*0.035</f>
        <v>0</v>
      </c>
      <c r="AB13" s="4">
        <f t="shared" ref="AB13:AB20" si="16">Y13</f>
        <v>0</v>
      </c>
      <c r="AC13" s="4">
        <f t="shared" ref="AC13:AC20" si="17">$F13/$D13</f>
        <v>0</v>
      </c>
      <c r="AD13" s="4">
        <f t="shared" ref="AD13:AD20" si="18">AB13-AC13</f>
        <v>0</v>
      </c>
      <c r="AE13" s="15">
        <f t="shared" ref="AE13:AE20" si="19">((AB13+AD13)/2)*0.035</f>
        <v>0</v>
      </c>
    </row>
    <row r="14" spans="2:31" ht="12.75" hidden="1" customHeight="1">
      <c r="B14" s="24"/>
      <c r="C14" s="1" t="s">
        <v>75</v>
      </c>
      <c r="D14" s="23">
        <v>25</v>
      </c>
      <c r="F14" s="3"/>
      <c r="H14" s="4">
        <f t="shared" si="0"/>
        <v>0</v>
      </c>
      <c r="I14" s="4">
        <f t="shared" si="1"/>
        <v>0</v>
      </c>
      <c r="J14" s="4">
        <f t="shared" si="2"/>
        <v>0</v>
      </c>
      <c r="K14" s="15">
        <f t="shared" si="3"/>
        <v>0</v>
      </c>
      <c r="M14" s="4">
        <f t="shared" si="4"/>
        <v>0</v>
      </c>
      <c r="N14" s="4">
        <f t="shared" si="5"/>
        <v>0</v>
      </c>
      <c r="O14" s="4">
        <f t="shared" si="6"/>
        <v>0</v>
      </c>
      <c r="P14" s="15">
        <f t="shared" si="7"/>
        <v>0</v>
      </c>
      <c r="R14" s="4">
        <f t="shared" si="8"/>
        <v>0</v>
      </c>
      <c r="S14" s="4">
        <f t="shared" si="9"/>
        <v>0</v>
      </c>
      <c r="T14" s="4">
        <f t="shared" si="10"/>
        <v>0</v>
      </c>
      <c r="U14" s="15">
        <f t="shared" si="11"/>
        <v>0</v>
      </c>
      <c r="W14" s="4">
        <f t="shared" si="12"/>
        <v>0</v>
      </c>
      <c r="X14" s="4">
        <f t="shared" si="13"/>
        <v>0</v>
      </c>
      <c r="Y14" s="4">
        <f t="shared" si="14"/>
        <v>0</v>
      </c>
      <c r="Z14" s="15">
        <f t="shared" si="15"/>
        <v>0</v>
      </c>
      <c r="AB14" s="4">
        <f t="shared" si="16"/>
        <v>0</v>
      </c>
      <c r="AC14" s="4">
        <f t="shared" si="17"/>
        <v>0</v>
      </c>
      <c r="AD14" s="4">
        <f t="shared" si="18"/>
        <v>0</v>
      </c>
      <c r="AE14" s="15">
        <f t="shared" si="19"/>
        <v>0</v>
      </c>
    </row>
    <row r="15" spans="2:31" ht="12.75" hidden="1" customHeight="1">
      <c r="B15" s="24"/>
      <c r="C15" s="1" t="s">
        <v>75</v>
      </c>
      <c r="D15" s="23">
        <v>25</v>
      </c>
      <c r="F15" s="3"/>
      <c r="H15" s="4">
        <f t="shared" si="0"/>
        <v>0</v>
      </c>
      <c r="I15" s="4">
        <f t="shared" si="1"/>
        <v>0</v>
      </c>
      <c r="J15" s="4">
        <f t="shared" si="2"/>
        <v>0</v>
      </c>
      <c r="K15" s="15">
        <f t="shared" si="3"/>
        <v>0</v>
      </c>
      <c r="M15" s="4">
        <f t="shared" si="4"/>
        <v>0</v>
      </c>
      <c r="N15" s="4">
        <f t="shared" si="5"/>
        <v>0</v>
      </c>
      <c r="O15" s="4">
        <f t="shared" si="6"/>
        <v>0</v>
      </c>
      <c r="P15" s="15">
        <f t="shared" si="7"/>
        <v>0</v>
      </c>
      <c r="R15" s="4">
        <f t="shared" si="8"/>
        <v>0</v>
      </c>
      <c r="S15" s="4">
        <f t="shared" si="9"/>
        <v>0</v>
      </c>
      <c r="T15" s="4">
        <f t="shared" si="10"/>
        <v>0</v>
      </c>
      <c r="U15" s="15">
        <f t="shared" si="11"/>
        <v>0</v>
      </c>
      <c r="W15" s="4">
        <f t="shared" si="12"/>
        <v>0</v>
      </c>
      <c r="X15" s="4">
        <f t="shared" si="13"/>
        <v>0</v>
      </c>
      <c r="Y15" s="4">
        <f t="shared" si="14"/>
        <v>0</v>
      </c>
      <c r="Z15" s="15">
        <f t="shared" si="15"/>
        <v>0</v>
      </c>
      <c r="AB15" s="4">
        <f t="shared" si="16"/>
        <v>0</v>
      </c>
      <c r="AC15" s="4">
        <f t="shared" si="17"/>
        <v>0</v>
      </c>
      <c r="AD15" s="4">
        <f t="shared" si="18"/>
        <v>0</v>
      </c>
      <c r="AE15" s="15">
        <f t="shared" si="19"/>
        <v>0</v>
      </c>
    </row>
    <row r="16" spans="2:31" ht="12.75" hidden="1" customHeight="1">
      <c r="B16" s="24"/>
      <c r="C16" s="1" t="s">
        <v>74</v>
      </c>
      <c r="D16" s="23">
        <v>7</v>
      </c>
      <c r="F16" s="3"/>
      <c r="H16" s="4">
        <f t="shared" si="0"/>
        <v>0</v>
      </c>
      <c r="I16" s="4">
        <f t="shared" si="1"/>
        <v>0</v>
      </c>
      <c r="J16" s="4">
        <f t="shared" si="2"/>
        <v>0</v>
      </c>
      <c r="K16" s="15">
        <f t="shared" si="3"/>
        <v>0</v>
      </c>
      <c r="M16" s="4">
        <f t="shared" si="4"/>
        <v>0</v>
      </c>
      <c r="N16" s="4">
        <f t="shared" si="5"/>
        <v>0</v>
      </c>
      <c r="O16" s="4">
        <f t="shared" si="6"/>
        <v>0</v>
      </c>
      <c r="P16" s="15">
        <f t="shared" si="7"/>
        <v>0</v>
      </c>
      <c r="R16" s="4">
        <f t="shared" si="8"/>
        <v>0</v>
      </c>
      <c r="S16" s="4">
        <f t="shared" si="9"/>
        <v>0</v>
      </c>
      <c r="T16" s="4">
        <f t="shared" si="10"/>
        <v>0</v>
      </c>
      <c r="U16" s="15">
        <f t="shared" si="11"/>
        <v>0</v>
      </c>
      <c r="W16" s="4">
        <f t="shared" si="12"/>
        <v>0</v>
      </c>
      <c r="X16" s="4">
        <f t="shared" si="13"/>
        <v>0</v>
      </c>
      <c r="Y16" s="4">
        <f t="shared" si="14"/>
        <v>0</v>
      </c>
      <c r="Z16" s="15">
        <f t="shared" si="15"/>
        <v>0</v>
      </c>
      <c r="AB16" s="4">
        <f t="shared" si="16"/>
        <v>0</v>
      </c>
      <c r="AC16" s="4">
        <f t="shared" si="17"/>
        <v>0</v>
      </c>
      <c r="AD16" s="4">
        <f t="shared" si="18"/>
        <v>0</v>
      </c>
      <c r="AE16" s="15">
        <f t="shared" si="19"/>
        <v>0</v>
      </c>
    </row>
    <row r="17" spans="2:31" ht="12.75" hidden="1" customHeight="1">
      <c r="B17" s="24"/>
      <c r="C17" s="1" t="s">
        <v>74</v>
      </c>
      <c r="D17" s="23">
        <v>7</v>
      </c>
      <c r="F17" s="3"/>
      <c r="H17" s="4">
        <f t="shared" si="0"/>
        <v>0</v>
      </c>
      <c r="I17" s="4">
        <f t="shared" si="1"/>
        <v>0</v>
      </c>
      <c r="J17" s="4">
        <f t="shared" si="2"/>
        <v>0</v>
      </c>
      <c r="K17" s="15">
        <f t="shared" si="3"/>
        <v>0</v>
      </c>
      <c r="M17" s="4">
        <f t="shared" si="4"/>
        <v>0</v>
      </c>
      <c r="N17" s="4">
        <f t="shared" si="5"/>
        <v>0</v>
      </c>
      <c r="O17" s="4">
        <f t="shared" si="6"/>
        <v>0</v>
      </c>
      <c r="P17" s="15">
        <f t="shared" si="7"/>
        <v>0</v>
      </c>
      <c r="R17" s="4">
        <f t="shared" si="8"/>
        <v>0</v>
      </c>
      <c r="S17" s="4">
        <f t="shared" si="9"/>
        <v>0</v>
      </c>
      <c r="T17" s="4">
        <f t="shared" si="10"/>
        <v>0</v>
      </c>
      <c r="U17" s="15">
        <f t="shared" si="11"/>
        <v>0</v>
      </c>
      <c r="W17" s="4">
        <f t="shared" si="12"/>
        <v>0</v>
      </c>
      <c r="X17" s="4">
        <f t="shared" si="13"/>
        <v>0</v>
      </c>
      <c r="Y17" s="4">
        <f t="shared" si="14"/>
        <v>0</v>
      </c>
      <c r="Z17" s="15">
        <f t="shared" si="15"/>
        <v>0</v>
      </c>
      <c r="AB17" s="4">
        <f t="shared" si="16"/>
        <v>0</v>
      </c>
      <c r="AC17" s="4">
        <f t="shared" si="17"/>
        <v>0</v>
      </c>
      <c r="AD17" s="4">
        <f t="shared" si="18"/>
        <v>0</v>
      </c>
      <c r="AE17" s="15">
        <f t="shared" si="19"/>
        <v>0</v>
      </c>
    </row>
    <row r="18" spans="2:31" ht="12.75" hidden="1" customHeight="1">
      <c r="C18" s="1" t="s">
        <v>74</v>
      </c>
      <c r="D18" s="23">
        <v>7</v>
      </c>
      <c r="F18" s="3"/>
      <c r="H18" s="4">
        <f t="shared" si="0"/>
        <v>0</v>
      </c>
      <c r="I18" s="4">
        <f t="shared" si="1"/>
        <v>0</v>
      </c>
      <c r="J18" s="4">
        <f t="shared" si="2"/>
        <v>0</v>
      </c>
      <c r="K18" s="15">
        <f t="shared" si="3"/>
        <v>0</v>
      </c>
      <c r="M18" s="4">
        <f t="shared" si="4"/>
        <v>0</v>
      </c>
      <c r="N18" s="4">
        <f t="shared" si="5"/>
        <v>0</v>
      </c>
      <c r="O18" s="4">
        <f t="shared" si="6"/>
        <v>0</v>
      </c>
      <c r="P18" s="15">
        <f t="shared" si="7"/>
        <v>0</v>
      </c>
      <c r="R18" s="4">
        <f t="shared" si="8"/>
        <v>0</v>
      </c>
      <c r="S18" s="4">
        <f t="shared" si="9"/>
        <v>0</v>
      </c>
      <c r="T18" s="4">
        <f t="shared" si="10"/>
        <v>0</v>
      </c>
      <c r="U18" s="15">
        <f t="shared" si="11"/>
        <v>0</v>
      </c>
      <c r="W18" s="4">
        <f t="shared" si="12"/>
        <v>0</v>
      </c>
      <c r="X18" s="4">
        <f t="shared" si="13"/>
        <v>0</v>
      </c>
      <c r="Y18" s="4">
        <f t="shared" si="14"/>
        <v>0</v>
      </c>
      <c r="Z18" s="15">
        <f t="shared" si="15"/>
        <v>0</v>
      </c>
      <c r="AB18" s="4">
        <f t="shared" si="16"/>
        <v>0</v>
      </c>
      <c r="AC18" s="4">
        <f t="shared" si="17"/>
        <v>0</v>
      </c>
      <c r="AD18" s="4">
        <f t="shared" si="18"/>
        <v>0</v>
      </c>
      <c r="AE18" s="15">
        <f t="shared" si="19"/>
        <v>0</v>
      </c>
    </row>
    <row r="19" spans="2:31" ht="12.75" hidden="1" customHeight="1">
      <c r="C19" s="1" t="s">
        <v>31</v>
      </c>
      <c r="D19" s="23">
        <v>5</v>
      </c>
      <c r="F19" s="3"/>
      <c r="H19" s="4">
        <f t="shared" si="0"/>
        <v>0</v>
      </c>
      <c r="I19" s="4">
        <f t="shared" si="1"/>
        <v>0</v>
      </c>
      <c r="J19" s="4">
        <f t="shared" si="2"/>
        <v>0</v>
      </c>
      <c r="K19" s="15">
        <f t="shared" si="3"/>
        <v>0</v>
      </c>
      <c r="M19" s="4">
        <f t="shared" si="4"/>
        <v>0</v>
      </c>
      <c r="N19" s="4">
        <f t="shared" si="5"/>
        <v>0</v>
      </c>
      <c r="O19" s="4">
        <f t="shared" si="6"/>
        <v>0</v>
      </c>
      <c r="P19" s="15">
        <f t="shared" si="7"/>
        <v>0</v>
      </c>
      <c r="R19" s="4">
        <f t="shared" si="8"/>
        <v>0</v>
      </c>
      <c r="S19" s="4">
        <f t="shared" si="9"/>
        <v>0</v>
      </c>
      <c r="T19" s="4">
        <f t="shared" si="10"/>
        <v>0</v>
      </c>
      <c r="U19" s="15">
        <f t="shared" si="11"/>
        <v>0</v>
      </c>
      <c r="W19" s="4">
        <f t="shared" si="12"/>
        <v>0</v>
      </c>
      <c r="X19" s="4">
        <f t="shared" si="13"/>
        <v>0</v>
      </c>
      <c r="Y19" s="4">
        <f t="shared" si="14"/>
        <v>0</v>
      </c>
      <c r="Z19" s="15">
        <f t="shared" si="15"/>
        <v>0</v>
      </c>
      <c r="AB19" s="4">
        <f t="shared" si="16"/>
        <v>0</v>
      </c>
      <c r="AC19" s="4">
        <f t="shared" si="17"/>
        <v>0</v>
      </c>
      <c r="AD19" s="4">
        <f t="shared" si="18"/>
        <v>0</v>
      </c>
      <c r="AE19" s="15">
        <f t="shared" si="19"/>
        <v>0</v>
      </c>
    </row>
    <row r="20" spans="2:31" ht="12.75" hidden="1" customHeight="1">
      <c r="C20" s="1" t="s">
        <v>31</v>
      </c>
      <c r="D20" s="23">
        <v>3</v>
      </c>
      <c r="F20" s="3"/>
      <c r="H20" s="4">
        <f t="shared" si="0"/>
        <v>0</v>
      </c>
      <c r="I20" s="4">
        <f t="shared" si="1"/>
        <v>0</v>
      </c>
      <c r="J20" s="4">
        <f t="shared" si="2"/>
        <v>0</v>
      </c>
      <c r="K20" s="15">
        <f t="shared" si="3"/>
        <v>0</v>
      </c>
      <c r="M20" s="4">
        <f t="shared" si="4"/>
        <v>0</v>
      </c>
      <c r="N20" s="4">
        <f t="shared" si="5"/>
        <v>0</v>
      </c>
      <c r="O20" s="4">
        <f t="shared" si="6"/>
        <v>0</v>
      </c>
      <c r="P20" s="15">
        <f t="shared" si="7"/>
        <v>0</v>
      </c>
      <c r="R20" s="4">
        <f t="shared" si="8"/>
        <v>0</v>
      </c>
      <c r="S20" s="4">
        <f t="shared" si="9"/>
        <v>0</v>
      </c>
      <c r="T20" s="4">
        <f t="shared" si="10"/>
        <v>0</v>
      </c>
      <c r="U20" s="15">
        <f t="shared" si="11"/>
        <v>0</v>
      </c>
      <c r="W20" s="4">
        <f t="shared" si="12"/>
        <v>0</v>
      </c>
      <c r="X20" s="4">
        <f t="shared" si="13"/>
        <v>0</v>
      </c>
      <c r="Y20" s="4">
        <f t="shared" si="14"/>
        <v>0</v>
      </c>
      <c r="Z20" s="15">
        <f t="shared" si="15"/>
        <v>0</v>
      </c>
      <c r="AB20" s="4">
        <f t="shared" si="16"/>
        <v>0</v>
      </c>
      <c r="AC20" s="4">
        <f t="shared" si="17"/>
        <v>0</v>
      </c>
      <c r="AD20" s="4">
        <f t="shared" si="18"/>
        <v>0</v>
      </c>
      <c r="AE20" s="15">
        <f t="shared" si="19"/>
        <v>0</v>
      </c>
    </row>
    <row r="21" spans="2:31" s="49" customFormat="1" ht="12.75" hidden="1" customHeight="1">
      <c r="B21" s="49" t="s">
        <v>32</v>
      </c>
      <c r="D21" s="50"/>
      <c r="E21" s="50"/>
      <c r="F21" s="51">
        <f>SUM(F13:F20)</f>
        <v>0</v>
      </c>
      <c r="H21" s="51">
        <f>SUM(H13:H20)</f>
        <v>0</v>
      </c>
      <c r="I21" s="52">
        <f>SUM(I13:I20)</f>
        <v>0</v>
      </c>
      <c r="J21" s="51">
        <f>SUM(J13:J20)</f>
        <v>0</v>
      </c>
      <c r="K21" s="53">
        <f>SUM(K13:K20)</f>
        <v>0</v>
      </c>
      <c r="M21" s="51">
        <f>SUM(M13:M20)</f>
        <v>0</v>
      </c>
      <c r="N21" s="52">
        <f>SUM(N13:N20)</f>
        <v>0</v>
      </c>
      <c r="O21" s="51">
        <f>SUM(O13:O20)</f>
        <v>0</v>
      </c>
      <c r="P21" s="53">
        <f>SUM(P13:P20)</f>
        <v>0</v>
      </c>
      <c r="R21" s="51">
        <f>SUM(R13:R20)</f>
        <v>0</v>
      </c>
      <c r="S21" s="52">
        <f>SUM(S13:S20)</f>
        <v>0</v>
      </c>
      <c r="T21" s="51">
        <f>SUM(T13:T20)</f>
        <v>0</v>
      </c>
      <c r="U21" s="53">
        <f>SUM(U13:U20)</f>
        <v>0</v>
      </c>
      <c r="W21" s="51">
        <f>SUM(W13:W20)</f>
        <v>0</v>
      </c>
      <c r="X21" s="52">
        <f>SUM(X13:X20)</f>
        <v>0</v>
      </c>
      <c r="Y21" s="51">
        <f>SUM(Y13:Y20)</f>
        <v>0</v>
      </c>
      <c r="Z21" s="53">
        <f>SUM(Z13:Z20)</f>
        <v>0</v>
      </c>
      <c r="AB21" s="51">
        <f>SUM(AB13:AB20)</f>
        <v>0</v>
      </c>
      <c r="AC21" s="52">
        <f>SUM(AC13:AC20)</f>
        <v>0</v>
      </c>
      <c r="AD21" s="51">
        <f>SUM(AD13:AD20)</f>
        <v>0</v>
      </c>
      <c r="AE21" s="53">
        <f>SUM(AE13:AE20)</f>
        <v>0</v>
      </c>
    </row>
    <row r="22" spans="2:31" hidden="1">
      <c r="F22" s="23"/>
    </row>
    <row r="23" spans="2:31" ht="15" hidden="1">
      <c r="B23" s="49" t="s">
        <v>16</v>
      </c>
      <c r="F23" s="25" t="s">
        <v>2</v>
      </c>
      <c r="H23" s="25" t="s">
        <v>21</v>
      </c>
      <c r="I23" s="25" t="s">
        <v>21</v>
      </c>
      <c r="J23" s="25" t="s">
        <v>21</v>
      </c>
      <c r="K23" s="25" t="s">
        <v>21</v>
      </c>
      <c r="M23" s="25" t="s">
        <v>22</v>
      </c>
      <c r="N23" s="25" t="s">
        <v>22</v>
      </c>
      <c r="O23" s="25" t="s">
        <v>22</v>
      </c>
      <c r="P23" s="25" t="s">
        <v>22</v>
      </c>
      <c r="R23" s="25" t="s">
        <v>23</v>
      </c>
      <c r="S23" s="25" t="s">
        <v>23</v>
      </c>
      <c r="T23" s="25" t="s">
        <v>23</v>
      </c>
      <c r="U23" s="25" t="s">
        <v>23</v>
      </c>
      <c r="W23" s="25" t="s">
        <v>24</v>
      </c>
      <c r="X23" s="25" t="s">
        <v>24</v>
      </c>
      <c r="Y23" s="25" t="s">
        <v>24</v>
      </c>
      <c r="Z23" s="25" t="s">
        <v>24</v>
      </c>
      <c r="AB23" s="25" t="s">
        <v>25</v>
      </c>
      <c r="AC23" s="25" t="s">
        <v>25</v>
      </c>
      <c r="AD23" s="25" t="s">
        <v>25</v>
      </c>
      <c r="AE23" s="25" t="s">
        <v>25</v>
      </c>
    </row>
    <row r="24" spans="2:31" ht="26.25" hidden="1" customHeight="1">
      <c r="B24" s="60" t="str">
        <f>'2. Standing data'!C14</f>
        <v>LNWH DC &amp; IP + NWL Hips &amp; Knees</v>
      </c>
      <c r="F24" s="45"/>
      <c r="H24" s="45"/>
      <c r="I24" s="45"/>
      <c r="J24" s="45"/>
      <c r="K24" s="46"/>
      <c r="M24" s="45"/>
      <c r="N24" s="45"/>
      <c r="O24" s="45"/>
      <c r="P24" s="46"/>
      <c r="R24" s="45"/>
      <c r="S24" s="45"/>
      <c r="T24" s="45"/>
      <c r="U24" s="46"/>
      <c r="W24" s="45"/>
      <c r="X24" s="45"/>
      <c r="Y24" s="45"/>
      <c r="Z24" s="46"/>
      <c r="AB24" s="45"/>
      <c r="AC24" s="45"/>
      <c r="AD24" s="45"/>
      <c r="AE24" s="46"/>
    </row>
    <row r="25" spans="2:31" ht="15" hidden="1">
      <c r="D25" s="23" t="s">
        <v>45</v>
      </c>
      <c r="E25" s="23" t="s">
        <v>93</v>
      </c>
      <c r="F25" s="26" t="s">
        <v>26</v>
      </c>
      <c r="H25" s="26" t="s">
        <v>26</v>
      </c>
      <c r="I25" s="26" t="s">
        <v>26</v>
      </c>
      <c r="J25" s="26" t="s">
        <v>26</v>
      </c>
      <c r="K25" s="31" t="s">
        <v>26</v>
      </c>
      <c r="M25" s="26" t="s">
        <v>26</v>
      </c>
      <c r="N25" s="26" t="s">
        <v>26</v>
      </c>
      <c r="O25" s="26" t="s">
        <v>26</v>
      </c>
      <c r="P25" s="31" t="s">
        <v>26</v>
      </c>
      <c r="R25" s="26" t="s">
        <v>26</v>
      </c>
      <c r="S25" s="26" t="s">
        <v>26</v>
      </c>
      <c r="T25" s="26" t="s">
        <v>26</v>
      </c>
      <c r="U25" s="31" t="s">
        <v>26</v>
      </c>
      <c r="W25" s="26" t="s">
        <v>26</v>
      </c>
      <c r="X25" s="26" t="s">
        <v>26</v>
      </c>
      <c r="Y25" s="26" t="s">
        <v>26</v>
      </c>
      <c r="Z25" s="31" t="s">
        <v>26</v>
      </c>
      <c r="AB25" s="26" t="s">
        <v>26</v>
      </c>
      <c r="AC25" s="26" t="s">
        <v>26</v>
      </c>
      <c r="AD25" s="26" t="s">
        <v>26</v>
      </c>
      <c r="AE25" s="31" t="s">
        <v>26</v>
      </c>
    </row>
    <row r="26" spans="2:31" hidden="1">
      <c r="B26" s="24"/>
      <c r="C26" s="24"/>
      <c r="F26" s="29"/>
      <c r="H26" s="30" t="s">
        <v>47</v>
      </c>
      <c r="I26" s="30" t="s">
        <v>48</v>
      </c>
      <c r="J26" s="30" t="s">
        <v>50</v>
      </c>
      <c r="K26" s="32" t="s">
        <v>51</v>
      </c>
      <c r="M26" s="30" t="s">
        <v>47</v>
      </c>
      <c r="N26" s="30" t="s">
        <v>48</v>
      </c>
      <c r="O26" s="30" t="s">
        <v>50</v>
      </c>
      <c r="P26" s="32" t="s">
        <v>51</v>
      </c>
      <c r="R26" s="30" t="s">
        <v>47</v>
      </c>
      <c r="S26" s="30" t="s">
        <v>48</v>
      </c>
      <c r="T26" s="30" t="s">
        <v>50</v>
      </c>
      <c r="U26" s="32" t="s">
        <v>51</v>
      </c>
      <c r="W26" s="30" t="s">
        <v>47</v>
      </c>
      <c r="X26" s="30" t="s">
        <v>48</v>
      </c>
      <c r="Y26" s="30" t="s">
        <v>50</v>
      </c>
      <c r="Z26" s="32" t="s">
        <v>51</v>
      </c>
      <c r="AB26" s="30" t="s">
        <v>47</v>
      </c>
      <c r="AC26" s="30" t="s">
        <v>48</v>
      </c>
      <c r="AD26" s="30" t="s">
        <v>50</v>
      </c>
      <c r="AE26" s="32" t="s">
        <v>51</v>
      </c>
    </row>
    <row r="27" spans="2:31" ht="12.75" hidden="1" customHeight="1">
      <c r="B27" s="24" t="str">
        <f>'7c. Capital Charges'!A5</f>
        <v>Refurbishment (Aligned to PAC Development) (25 Years useful life)</v>
      </c>
      <c r="C27" s="1" t="s">
        <v>75</v>
      </c>
      <c r="D27" s="23">
        <v>25</v>
      </c>
      <c r="F27" s="3">
        <f>'7c. Capital Charges'!C5/1000</f>
        <v>3804.8748660000006</v>
      </c>
      <c r="H27" s="4">
        <f t="shared" ref="H27:H34" si="20">F27</f>
        <v>3804.8748660000006</v>
      </c>
      <c r="I27" s="4">
        <f t="shared" ref="I27:I34" si="21">$F27/$D27</f>
        <v>152.19499464000003</v>
      </c>
      <c r="J27" s="4">
        <f t="shared" ref="J27:J34" si="22">F27-I27</f>
        <v>3652.6798713600006</v>
      </c>
      <c r="K27" s="15">
        <f>((H27+J27)/2)*0.035</f>
        <v>130.50720790380004</v>
      </c>
      <c r="M27" s="4">
        <f t="shared" ref="M27:M34" si="23">J27</f>
        <v>3652.6798713600006</v>
      </c>
      <c r="N27" s="4">
        <f t="shared" ref="N27:N34" si="24">$F27/$D27</f>
        <v>152.19499464000003</v>
      </c>
      <c r="O27" s="4">
        <f t="shared" ref="O27:O34" si="25">M27-N27</f>
        <v>3500.4848767200006</v>
      </c>
      <c r="P27" s="15">
        <f t="shared" ref="P27:P34" si="26">((M27+O27)/2)*0.035</f>
        <v>125.18038309140003</v>
      </c>
      <c r="R27" s="4">
        <f t="shared" ref="R27:R34" si="27">O27</f>
        <v>3500.4848767200006</v>
      </c>
      <c r="S27" s="4">
        <f t="shared" ref="S27:S34" si="28">$F27/$D27</f>
        <v>152.19499464000003</v>
      </c>
      <c r="T27" s="4">
        <f t="shared" ref="T27:T34" si="29">R27-S27</f>
        <v>3348.2898820800006</v>
      </c>
      <c r="U27" s="15">
        <f t="shared" ref="U27:U34" si="30">((R27+T27)/2)*0.035</f>
        <v>119.85355827900003</v>
      </c>
      <c r="W27" s="4">
        <f t="shared" ref="W27:W34" si="31">T27</f>
        <v>3348.2898820800006</v>
      </c>
      <c r="X27" s="4">
        <f t="shared" ref="X27:X34" si="32">$F27/$D27</f>
        <v>152.19499464000003</v>
      </c>
      <c r="Y27" s="4">
        <f t="shared" ref="Y27:Y34" si="33">W27-X27</f>
        <v>3196.0948874400005</v>
      </c>
      <c r="Z27" s="15">
        <f t="shared" ref="Z27:Z34" si="34">((W27+Y27)/2)*0.035</f>
        <v>114.52673346660004</v>
      </c>
      <c r="AB27" s="4">
        <f t="shared" ref="AB27:AB34" si="35">Y27</f>
        <v>3196.0948874400005</v>
      </c>
      <c r="AC27" s="4">
        <f t="shared" ref="AC27:AC34" si="36">$F27/$D27</f>
        <v>152.19499464000003</v>
      </c>
      <c r="AD27" s="4">
        <f t="shared" ref="AD27:AD34" si="37">AB27-AC27</f>
        <v>3043.8998928000005</v>
      </c>
      <c r="AE27" s="15">
        <f t="shared" ref="AE27:AE34" si="38">((AB27+AD27)/2)*0.035</f>
        <v>109.19990865420003</v>
      </c>
    </row>
    <row r="28" spans="2:31" ht="12.75" hidden="1" customHeight="1">
      <c r="B28" s="24" t="str">
        <f>'7c. Capital Charges'!A6</f>
        <v>Development Costs (25 Years useful life)</v>
      </c>
      <c r="C28" s="1" t="s">
        <v>75</v>
      </c>
      <c r="D28" s="23">
        <v>25</v>
      </c>
      <c r="F28" s="3">
        <f>'7c. Capital Charges'!C6/1000</f>
        <v>577.20000000000005</v>
      </c>
      <c r="H28" s="4">
        <f t="shared" si="20"/>
        <v>577.20000000000005</v>
      </c>
      <c r="I28" s="4">
        <f t="shared" si="21"/>
        <v>23.088000000000001</v>
      </c>
      <c r="J28" s="4">
        <f t="shared" si="22"/>
        <v>554.11200000000008</v>
      </c>
      <c r="K28" s="15">
        <f t="shared" ref="K28:K34" si="39">((H28+J28)/2)*0.035</f>
        <v>19.797960000000003</v>
      </c>
      <c r="M28" s="4">
        <f t="shared" si="23"/>
        <v>554.11200000000008</v>
      </c>
      <c r="N28" s="4">
        <f t="shared" si="24"/>
        <v>23.088000000000001</v>
      </c>
      <c r="O28" s="4">
        <f t="shared" si="25"/>
        <v>531.02400000000011</v>
      </c>
      <c r="P28" s="15">
        <f t="shared" si="26"/>
        <v>18.989880000000007</v>
      </c>
      <c r="R28" s="4">
        <f t="shared" si="27"/>
        <v>531.02400000000011</v>
      </c>
      <c r="S28" s="4">
        <f t="shared" si="28"/>
        <v>23.088000000000001</v>
      </c>
      <c r="T28" s="4">
        <f t="shared" si="29"/>
        <v>507.93600000000009</v>
      </c>
      <c r="U28" s="15">
        <f t="shared" si="30"/>
        <v>18.181800000000006</v>
      </c>
      <c r="W28" s="4">
        <f t="shared" si="31"/>
        <v>507.93600000000009</v>
      </c>
      <c r="X28" s="4">
        <f t="shared" si="32"/>
        <v>23.088000000000001</v>
      </c>
      <c r="Y28" s="4">
        <f t="shared" si="33"/>
        <v>484.84800000000007</v>
      </c>
      <c r="Z28" s="15">
        <f t="shared" si="34"/>
        <v>17.373720000000002</v>
      </c>
      <c r="AB28" s="4">
        <f t="shared" si="35"/>
        <v>484.84800000000007</v>
      </c>
      <c r="AC28" s="4">
        <f t="shared" si="36"/>
        <v>23.088000000000001</v>
      </c>
      <c r="AD28" s="4">
        <f t="shared" si="37"/>
        <v>461.76000000000005</v>
      </c>
      <c r="AE28" s="15">
        <f t="shared" si="38"/>
        <v>16.565640000000005</v>
      </c>
    </row>
    <row r="29" spans="2:31" ht="12.75" hidden="1" customHeight="1">
      <c r="B29" s="24"/>
      <c r="C29" s="1" t="s">
        <v>75</v>
      </c>
      <c r="D29" s="23">
        <v>25</v>
      </c>
      <c r="F29" s="3"/>
      <c r="H29" s="4">
        <f t="shared" si="20"/>
        <v>0</v>
      </c>
      <c r="I29" s="4">
        <f t="shared" si="21"/>
        <v>0</v>
      </c>
      <c r="J29" s="4">
        <f t="shared" si="22"/>
        <v>0</v>
      </c>
      <c r="K29" s="15">
        <f t="shared" si="39"/>
        <v>0</v>
      </c>
      <c r="M29" s="4">
        <f t="shared" si="23"/>
        <v>0</v>
      </c>
      <c r="N29" s="4">
        <f t="shared" si="24"/>
        <v>0</v>
      </c>
      <c r="O29" s="4">
        <f t="shared" si="25"/>
        <v>0</v>
      </c>
      <c r="P29" s="15">
        <f t="shared" si="26"/>
        <v>0</v>
      </c>
      <c r="R29" s="4">
        <f t="shared" si="27"/>
        <v>0</v>
      </c>
      <c r="S29" s="4">
        <f t="shared" si="28"/>
        <v>0</v>
      </c>
      <c r="T29" s="4">
        <f t="shared" si="29"/>
        <v>0</v>
      </c>
      <c r="U29" s="15">
        <f t="shared" si="30"/>
        <v>0</v>
      </c>
      <c r="W29" s="4">
        <f t="shared" si="31"/>
        <v>0</v>
      </c>
      <c r="X29" s="4">
        <f t="shared" si="32"/>
        <v>0</v>
      </c>
      <c r="Y29" s="4">
        <f t="shared" si="33"/>
        <v>0</v>
      </c>
      <c r="Z29" s="15">
        <f t="shared" si="34"/>
        <v>0</v>
      </c>
      <c r="AB29" s="4">
        <f t="shared" si="35"/>
        <v>0</v>
      </c>
      <c r="AC29" s="4">
        <f t="shared" si="36"/>
        <v>0</v>
      </c>
      <c r="AD29" s="4">
        <f t="shared" si="37"/>
        <v>0</v>
      </c>
      <c r="AE29" s="15">
        <f t="shared" si="38"/>
        <v>0</v>
      </c>
    </row>
    <row r="30" spans="2:31" ht="12.75" hidden="1" customHeight="1">
      <c r="B30" s="24" t="str">
        <f>'7c. Capital Charges'!A4</f>
        <v>Equipment (Medium Term Assets) (7 Years useful Life)</v>
      </c>
      <c r="C30" s="1" t="s">
        <v>74</v>
      </c>
      <c r="D30" s="23">
        <v>7</v>
      </c>
      <c r="F30" s="3">
        <f>'7c. Capital Charges'!C4/1000</f>
        <v>612.54</v>
      </c>
      <c r="H30" s="4">
        <f t="shared" si="20"/>
        <v>612.54</v>
      </c>
      <c r="I30" s="4">
        <f t="shared" si="21"/>
        <v>87.505714285714276</v>
      </c>
      <c r="J30" s="4">
        <f t="shared" si="22"/>
        <v>525.03428571428572</v>
      </c>
      <c r="K30" s="15">
        <f t="shared" si="39"/>
        <v>19.907550000000001</v>
      </c>
      <c r="M30" s="4">
        <f t="shared" si="23"/>
        <v>525.03428571428572</v>
      </c>
      <c r="N30" s="4">
        <f t="shared" si="24"/>
        <v>87.505714285714276</v>
      </c>
      <c r="O30" s="4">
        <f t="shared" si="25"/>
        <v>437.52857142857147</v>
      </c>
      <c r="P30" s="15">
        <f t="shared" si="26"/>
        <v>16.844850000000001</v>
      </c>
      <c r="R30" s="4">
        <f t="shared" si="27"/>
        <v>437.52857142857147</v>
      </c>
      <c r="S30" s="4">
        <f t="shared" si="28"/>
        <v>87.505714285714276</v>
      </c>
      <c r="T30" s="4">
        <f t="shared" si="29"/>
        <v>350.02285714285722</v>
      </c>
      <c r="U30" s="15">
        <f t="shared" si="30"/>
        <v>13.782150000000003</v>
      </c>
      <c r="W30" s="4">
        <f t="shared" si="31"/>
        <v>350.02285714285722</v>
      </c>
      <c r="X30" s="4">
        <f t="shared" si="32"/>
        <v>87.505714285714276</v>
      </c>
      <c r="Y30" s="4">
        <f t="shared" si="33"/>
        <v>262.51714285714297</v>
      </c>
      <c r="Z30" s="15">
        <f t="shared" si="34"/>
        <v>10.719450000000004</v>
      </c>
      <c r="AB30" s="4">
        <f t="shared" si="35"/>
        <v>262.51714285714297</v>
      </c>
      <c r="AC30" s="4">
        <f t="shared" si="36"/>
        <v>87.505714285714276</v>
      </c>
      <c r="AD30" s="4">
        <f t="shared" si="37"/>
        <v>175.0114285714287</v>
      </c>
      <c r="AE30" s="15">
        <f t="shared" si="38"/>
        <v>7.6567500000000051</v>
      </c>
    </row>
    <row r="31" spans="2:31" ht="12.75" hidden="1" customHeight="1">
      <c r="B31" s="24"/>
      <c r="C31" s="1" t="s">
        <v>74</v>
      </c>
      <c r="D31" s="23">
        <v>7</v>
      </c>
      <c r="F31" s="3"/>
      <c r="H31" s="4">
        <f t="shared" si="20"/>
        <v>0</v>
      </c>
      <c r="I31" s="4">
        <f t="shared" si="21"/>
        <v>0</v>
      </c>
      <c r="J31" s="4">
        <f t="shared" si="22"/>
        <v>0</v>
      </c>
      <c r="K31" s="15">
        <f t="shared" si="39"/>
        <v>0</v>
      </c>
      <c r="M31" s="4">
        <f t="shared" si="23"/>
        <v>0</v>
      </c>
      <c r="N31" s="4">
        <f t="shared" si="24"/>
        <v>0</v>
      </c>
      <c r="O31" s="4">
        <f t="shared" si="25"/>
        <v>0</v>
      </c>
      <c r="P31" s="15">
        <f t="shared" si="26"/>
        <v>0</v>
      </c>
      <c r="R31" s="4">
        <f t="shared" si="27"/>
        <v>0</v>
      </c>
      <c r="S31" s="4">
        <f t="shared" si="28"/>
        <v>0</v>
      </c>
      <c r="T31" s="4">
        <f t="shared" si="29"/>
        <v>0</v>
      </c>
      <c r="U31" s="15">
        <f t="shared" si="30"/>
        <v>0</v>
      </c>
      <c r="W31" s="4">
        <f t="shared" si="31"/>
        <v>0</v>
      </c>
      <c r="X31" s="4">
        <f t="shared" si="32"/>
        <v>0</v>
      </c>
      <c r="Y31" s="4">
        <f t="shared" si="33"/>
        <v>0</v>
      </c>
      <c r="Z31" s="15">
        <f t="shared" si="34"/>
        <v>0</v>
      </c>
      <c r="AB31" s="4">
        <f t="shared" si="35"/>
        <v>0</v>
      </c>
      <c r="AC31" s="4">
        <f t="shared" si="36"/>
        <v>0</v>
      </c>
      <c r="AD31" s="4">
        <f t="shared" si="37"/>
        <v>0</v>
      </c>
      <c r="AE31" s="15">
        <f t="shared" si="38"/>
        <v>0</v>
      </c>
    </row>
    <row r="32" spans="2:31" ht="12.75" hidden="1" customHeight="1">
      <c r="C32" s="1" t="s">
        <v>74</v>
      </c>
      <c r="D32" s="23">
        <v>7</v>
      </c>
      <c r="F32" s="3"/>
      <c r="H32" s="4">
        <f t="shared" si="20"/>
        <v>0</v>
      </c>
      <c r="I32" s="4">
        <f t="shared" si="21"/>
        <v>0</v>
      </c>
      <c r="J32" s="4">
        <f t="shared" si="22"/>
        <v>0</v>
      </c>
      <c r="K32" s="15">
        <f t="shared" si="39"/>
        <v>0</v>
      </c>
      <c r="M32" s="4">
        <f t="shared" si="23"/>
        <v>0</v>
      </c>
      <c r="N32" s="4">
        <f t="shared" si="24"/>
        <v>0</v>
      </c>
      <c r="O32" s="4">
        <f t="shared" si="25"/>
        <v>0</v>
      </c>
      <c r="P32" s="15">
        <f t="shared" si="26"/>
        <v>0</v>
      </c>
      <c r="R32" s="4">
        <f t="shared" si="27"/>
        <v>0</v>
      </c>
      <c r="S32" s="4">
        <f t="shared" si="28"/>
        <v>0</v>
      </c>
      <c r="T32" s="4">
        <f t="shared" si="29"/>
        <v>0</v>
      </c>
      <c r="U32" s="15">
        <f t="shared" si="30"/>
        <v>0</v>
      </c>
      <c r="W32" s="4">
        <f t="shared" si="31"/>
        <v>0</v>
      </c>
      <c r="X32" s="4">
        <f t="shared" si="32"/>
        <v>0</v>
      </c>
      <c r="Y32" s="4">
        <f t="shared" si="33"/>
        <v>0</v>
      </c>
      <c r="Z32" s="15">
        <f t="shared" si="34"/>
        <v>0</v>
      </c>
      <c r="AB32" s="4">
        <f t="shared" si="35"/>
        <v>0</v>
      </c>
      <c r="AC32" s="4">
        <f t="shared" si="36"/>
        <v>0</v>
      </c>
      <c r="AD32" s="4">
        <f t="shared" si="37"/>
        <v>0</v>
      </c>
      <c r="AE32" s="15">
        <f t="shared" si="38"/>
        <v>0</v>
      </c>
    </row>
    <row r="33" spans="2:31" ht="12.75" hidden="1" customHeight="1">
      <c r="C33" s="1" t="s">
        <v>31</v>
      </c>
      <c r="D33" s="23">
        <v>5</v>
      </c>
      <c r="F33" s="3"/>
      <c r="H33" s="4">
        <f t="shared" si="20"/>
        <v>0</v>
      </c>
      <c r="I33" s="4">
        <f t="shared" si="21"/>
        <v>0</v>
      </c>
      <c r="J33" s="4">
        <f t="shared" si="22"/>
        <v>0</v>
      </c>
      <c r="K33" s="15">
        <f t="shared" si="39"/>
        <v>0</v>
      </c>
      <c r="M33" s="4">
        <f t="shared" si="23"/>
        <v>0</v>
      </c>
      <c r="N33" s="4">
        <f t="shared" si="24"/>
        <v>0</v>
      </c>
      <c r="O33" s="4">
        <f t="shared" si="25"/>
        <v>0</v>
      </c>
      <c r="P33" s="15">
        <f t="shared" si="26"/>
        <v>0</v>
      </c>
      <c r="R33" s="4">
        <f t="shared" si="27"/>
        <v>0</v>
      </c>
      <c r="S33" s="4">
        <f t="shared" si="28"/>
        <v>0</v>
      </c>
      <c r="T33" s="4">
        <f t="shared" si="29"/>
        <v>0</v>
      </c>
      <c r="U33" s="15">
        <f t="shared" si="30"/>
        <v>0</v>
      </c>
      <c r="W33" s="4">
        <f t="shared" si="31"/>
        <v>0</v>
      </c>
      <c r="X33" s="4">
        <f t="shared" si="32"/>
        <v>0</v>
      </c>
      <c r="Y33" s="4">
        <f t="shared" si="33"/>
        <v>0</v>
      </c>
      <c r="Z33" s="15">
        <f t="shared" si="34"/>
        <v>0</v>
      </c>
      <c r="AB33" s="4">
        <f t="shared" si="35"/>
        <v>0</v>
      </c>
      <c r="AC33" s="4">
        <f t="shared" si="36"/>
        <v>0</v>
      </c>
      <c r="AD33" s="4">
        <f t="shared" si="37"/>
        <v>0</v>
      </c>
      <c r="AE33" s="15">
        <f t="shared" si="38"/>
        <v>0</v>
      </c>
    </row>
    <row r="34" spans="2:31" ht="12.75" hidden="1" customHeight="1">
      <c r="C34" s="1" t="s">
        <v>31</v>
      </c>
      <c r="D34" s="23">
        <v>3</v>
      </c>
      <c r="F34" s="3"/>
      <c r="H34" s="4">
        <f t="shared" si="20"/>
        <v>0</v>
      </c>
      <c r="I34" s="4">
        <f t="shared" si="21"/>
        <v>0</v>
      </c>
      <c r="J34" s="4">
        <f t="shared" si="22"/>
        <v>0</v>
      </c>
      <c r="K34" s="15">
        <f t="shared" si="39"/>
        <v>0</v>
      </c>
      <c r="M34" s="4">
        <f t="shared" si="23"/>
        <v>0</v>
      </c>
      <c r="N34" s="4">
        <f t="shared" si="24"/>
        <v>0</v>
      </c>
      <c r="O34" s="4">
        <f t="shared" si="25"/>
        <v>0</v>
      </c>
      <c r="P34" s="15">
        <f t="shared" si="26"/>
        <v>0</v>
      </c>
      <c r="R34" s="4">
        <f t="shared" si="27"/>
        <v>0</v>
      </c>
      <c r="S34" s="4">
        <f t="shared" si="28"/>
        <v>0</v>
      </c>
      <c r="T34" s="4">
        <f t="shared" si="29"/>
        <v>0</v>
      </c>
      <c r="U34" s="15">
        <f t="shared" si="30"/>
        <v>0</v>
      </c>
      <c r="W34" s="4">
        <f t="shared" si="31"/>
        <v>0</v>
      </c>
      <c r="X34" s="4">
        <f t="shared" si="32"/>
        <v>0</v>
      </c>
      <c r="Y34" s="4">
        <f t="shared" si="33"/>
        <v>0</v>
      </c>
      <c r="Z34" s="15">
        <f t="shared" si="34"/>
        <v>0</v>
      </c>
      <c r="AB34" s="4">
        <f t="shared" si="35"/>
        <v>0</v>
      </c>
      <c r="AC34" s="4">
        <f t="shared" si="36"/>
        <v>0</v>
      </c>
      <c r="AD34" s="4">
        <f t="shared" si="37"/>
        <v>0</v>
      </c>
      <c r="AE34" s="15">
        <f t="shared" si="38"/>
        <v>0</v>
      </c>
    </row>
    <row r="35" spans="2:31" s="49" customFormat="1" ht="12.75" hidden="1" customHeight="1">
      <c r="B35" s="49" t="s">
        <v>32</v>
      </c>
      <c r="D35" s="50"/>
      <c r="E35" s="50"/>
      <c r="F35" s="51">
        <f>SUM(F27:F34)</f>
        <v>4994.6148660000008</v>
      </c>
      <c r="H35" s="51">
        <f>SUM(H27:H34)</f>
        <v>4994.6148660000008</v>
      </c>
      <c r="I35" s="52">
        <f>SUM(I27:I34)</f>
        <v>262.78870892571433</v>
      </c>
      <c r="J35" s="51">
        <f>SUM(J27:J34)</f>
        <v>4731.826157074287</v>
      </c>
      <c r="K35" s="53">
        <f>SUM(K27:K34)</f>
        <v>170.21271790380007</v>
      </c>
      <c r="M35" s="51">
        <f>SUM(M27:M34)</f>
        <v>4731.826157074287</v>
      </c>
      <c r="N35" s="52">
        <f>SUM(N27:N34)</f>
        <v>262.78870892571433</v>
      </c>
      <c r="O35" s="51">
        <f>SUM(O27:O34)</f>
        <v>4469.0374481485724</v>
      </c>
      <c r="P35" s="53">
        <f>SUM(P27:P34)</f>
        <v>161.01511309140005</v>
      </c>
      <c r="R35" s="51">
        <f>SUM(R27:R34)</f>
        <v>4469.0374481485724</v>
      </c>
      <c r="S35" s="52">
        <f>SUM(S27:S34)</f>
        <v>262.78870892571433</v>
      </c>
      <c r="T35" s="51">
        <f>SUM(T27:T34)</f>
        <v>4206.2487392228577</v>
      </c>
      <c r="U35" s="53">
        <f>SUM(U27:U34)</f>
        <v>151.81750827900004</v>
      </c>
      <c r="W35" s="51">
        <f>SUM(W27:W34)</f>
        <v>4206.2487392228577</v>
      </c>
      <c r="X35" s="52">
        <f>SUM(X27:X34)</f>
        <v>262.78870892571433</v>
      </c>
      <c r="Y35" s="51">
        <f>SUM(Y27:Y34)</f>
        <v>3943.4600302971435</v>
      </c>
      <c r="Z35" s="53">
        <f>SUM(Z27:Z34)</f>
        <v>142.61990346660002</v>
      </c>
      <c r="AB35" s="51">
        <f>SUM(AB27:AB34)</f>
        <v>3943.4600302971435</v>
      </c>
      <c r="AC35" s="52">
        <f>SUM(AC27:AC34)</f>
        <v>262.78870892571433</v>
      </c>
      <c r="AD35" s="51">
        <f>SUM(AD27:AD34)</f>
        <v>3680.6713213714293</v>
      </c>
      <c r="AE35" s="53">
        <f>SUM(AE27:AE34)</f>
        <v>133.42229865420003</v>
      </c>
    </row>
    <row r="37" spans="2:31" ht="15">
      <c r="F37" s="25"/>
      <c r="H37" s="25" t="s">
        <v>21</v>
      </c>
      <c r="I37" s="25" t="s">
        <v>21</v>
      </c>
      <c r="J37" s="25" t="s">
        <v>21</v>
      </c>
      <c r="K37" s="25" t="s">
        <v>21</v>
      </c>
      <c r="M37" s="25" t="s">
        <v>22</v>
      </c>
      <c r="N37" s="25" t="s">
        <v>22</v>
      </c>
      <c r="O37" s="25" t="s">
        <v>22</v>
      </c>
      <c r="P37" s="25" t="s">
        <v>22</v>
      </c>
      <c r="R37" s="25" t="s">
        <v>23</v>
      </c>
      <c r="S37" s="25" t="s">
        <v>23</v>
      </c>
      <c r="T37" s="25" t="s">
        <v>23</v>
      </c>
      <c r="U37" s="25" t="s">
        <v>23</v>
      </c>
      <c r="W37" s="25" t="s">
        <v>24</v>
      </c>
      <c r="X37" s="25" t="s">
        <v>24</v>
      </c>
      <c r="Y37" s="25" t="s">
        <v>24</v>
      </c>
      <c r="Z37" s="25" t="s">
        <v>24</v>
      </c>
      <c r="AB37" s="25" t="s">
        <v>25</v>
      </c>
      <c r="AC37" s="25" t="s">
        <v>25</v>
      </c>
      <c r="AD37" s="25" t="s">
        <v>25</v>
      </c>
      <c r="AE37" s="25" t="s">
        <v>25</v>
      </c>
    </row>
    <row r="38" spans="2:31">
      <c r="B38" s="47" t="str">
        <f>'2. Standing data'!C15</f>
        <v xml:space="preserve">LNWH DC &amp; IP + NWL IP </v>
      </c>
      <c r="F38" s="45"/>
      <c r="H38" s="45"/>
      <c r="I38" s="45"/>
      <c r="J38" s="45"/>
      <c r="K38" s="46"/>
      <c r="M38" s="45"/>
      <c r="N38" s="45"/>
      <c r="O38" s="45"/>
      <c r="P38" s="46"/>
      <c r="R38" s="45"/>
      <c r="S38" s="45"/>
      <c r="T38" s="45"/>
      <c r="U38" s="46"/>
      <c r="W38" s="45"/>
      <c r="X38" s="45"/>
      <c r="Y38" s="45"/>
      <c r="Z38" s="46"/>
      <c r="AB38" s="45"/>
      <c r="AC38" s="45"/>
      <c r="AD38" s="45"/>
      <c r="AE38" s="46"/>
    </row>
    <row r="39" spans="2:31" ht="15">
      <c r="D39" s="23" t="s">
        <v>45</v>
      </c>
      <c r="F39" s="26" t="s">
        <v>26</v>
      </c>
      <c r="H39" s="26" t="s">
        <v>26</v>
      </c>
      <c r="I39" s="26" t="s">
        <v>26</v>
      </c>
      <c r="J39" s="26" t="s">
        <v>26</v>
      </c>
      <c r="K39" s="31" t="s">
        <v>26</v>
      </c>
      <c r="M39" s="26" t="s">
        <v>26</v>
      </c>
      <c r="N39" s="26" t="s">
        <v>26</v>
      </c>
      <c r="O39" s="26" t="s">
        <v>26</v>
      </c>
      <c r="P39" s="31" t="s">
        <v>26</v>
      </c>
      <c r="R39" s="26" t="s">
        <v>26</v>
      </c>
      <c r="S39" s="26" t="s">
        <v>26</v>
      </c>
      <c r="T39" s="26" t="s">
        <v>26</v>
      </c>
      <c r="U39" s="31" t="s">
        <v>26</v>
      </c>
      <c r="W39" s="26" t="s">
        <v>26</v>
      </c>
      <c r="X39" s="26" t="s">
        <v>26</v>
      </c>
      <c r="Y39" s="26" t="s">
        <v>26</v>
      </c>
      <c r="Z39" s="31" t="s">
        <v>26</v>
      </c>
      <c r="AB39" s="26" t="s">
        <v>26</v>
      </c>
      <c r="AC39" s="26" t="s">
        <v>26</v>
      </c>
      <c r="AD39" s="26" t="s">
        <v>26</v>
      </c>
      <c r="AE39" s="31" t="s">
        <v>26</v>
      </c>
    </row>
    <row r="40" spans="2:31">
      <c r="B40" s="24"/>
      <c r="C40" s="24"/>
      <c r="F40" s="29"/>
      <c r="H40" s="30" t="s">
        <v>47</v>
      </c>
      <c r="I40" s="30" t="s">
        <v>48</v>
      </c>
      <c r="J40" s="30" t="s">
        <v>50</v>
      </c>
      <c r="K40" s="32" t="s">
        <v>51</v>
      </c>
      <c r="M40" s="30" t="s">
        <v>47</v>
      </c>
      <c r="N40" s="30" t="s">
        <v>48</v>
      </c>
      <c r="O40" s="30" t="s">
        <v>50</v>
      </c>
      <c r="P40" s="32" t="s">
        <v>51</v>
      </c>
      <c r="R40" s="30" t="s">
        <v>47</v>
      </c>
      <c r="S40" s="30" t="s">
        <v>48</v>
      </c>
      <c r="T40" s="30" t="s">
        <v>50</v>
      </c>
      <c r="U40" s="32" t="s">
        <v>51</v>
      </c>
      <c r="W40" s="30" t="s">
        <v>47</v>
      </c>
      <c r="X40" s="30" t="s">
        <v>48</v>
      </c>
      <c r="Y40" s="30" t="s">
        <v>50</v>
      </c>
      <c r="Z40" s="32" t="s">
        <v>51</v>
      </c>
      <c r="AB40" s="30" t="s">
        <v>47</v>
      </c>
      <c r="AC40" s="30" t="s">
        <v>48</v>
      </c>
      <c r="AD40" s="30" t="s">
        <v>50</v>
      </c>
      <c r="AE40" s="32" t="s">
        <v>51</v>
      </c>
    </row>
    <row r="41" spans="2:31" ht="12.75" customHeight="1">
      <c r="B41" s="24" t="str">
        <f>'7c. Capital Charges'!A5</f>
        <v>Refurbishment (Aligned to PAC Development) (25 Years useful life)</v>
      </c>
      <c r="C41" s="1" t="s">
        <v>75</v>
      </c>
      <c r="D41" s="23">
        <v>25</v>
      </c>
      <c r="F41" s="3">
        <f>'7c. Capital Charges'!D5/1000</f>
        <v>7609.7497320000011</v>
      </c>
      <c r="H41" s="4">
        <f t="shared" ref="H41:H48" si="40">F41</f>
        <v>7609.7497320000011</v>
      </c>
      <c r="I41" s="4">
        <f t="shared" ref="I41:I48" si="41">$F41/$D41</f>
        <v>304.38998928000007</v>
      </c>
      <c r="J41" s="4">
        <f t="shared" ref="J41:J48" si="42">F41-I41</f>
        <v>7305.3597427200011</v>
      </c>
      <c r="K41" s="15">
        <f t="shared" ref="K41:K48" si="43">((H41+J41)/2)*0.035</f>
        <v>261.01441580760007</v>
      </c>
      <c r="M41" s="4">
        <f t="shared" ref="M41:M48" si="44">J41</f>
        <v>7305.3597427200011</v>
      </c>
      <c r="N41" s="4">
        <f t="shared" ref="N41:N48" si="45">$F41/$D41</f>
        <v>304.38998928000007</v>
      </c>
      <c r="O41" s="4">
        <f t="shared" ref="O41:O48" si="46">M41-N41</f>
        <v>7000.9697534400011</v>
      </c>
      <c r="P41" s="15">
        <f t="shared" ref="P41:P48" si="47">((M41+O41)/2)*0.035</f>
        <v>250.36076618280006</v>
      </c>
      <c r="R41" s="4">
        <f t="shared" ref="R41:R48" si="48">O41</f>
        <v>7000.9697534400011</v>
      </c>
      <c r="S41" s="4">
        <f t="shared" ref="S41:S48" si="49">$F41/$D41</f>
        <v>304.38998928000007</v>
      </c>
      <c r="T41" s="4">
        <f t="shared" ref="T41:T48" si="50">R41-S41</f>
        <v>6696.5797641600011</v>
      </c>
      <c r="U41" s="15">
        <f t="shared" ref="U41:U48" si="51">((R41+T41)/2)*0.035</f>
        <v>239.70711655800005</v>
      </c>
      <c r="W41" s="4">
        <f t="shared" ref="W41:W48" si="52">T41</f>
        <v>6696.5797641600011</v>
      </c>
      <c r="X41" s="4">
        <f t="shared" ref="X41:X48" si="53">$F41/$D41</f>
        <v>304.38998928000007</v>
      </c>
      <c r="Y41" s="4">
        <f t="shared" ref="Y41:Y48" si="54">W41-X41</f>
        <v>6392.1897748800011</v>
      </c>
      <c r="Z41" s="15">
        <f t="shared" ref="Z41:Z48" si="55">((W41+Y41)/2)*0.035</f>
        <v>229.05346693320007</v>
      </c>
      <c r="AB41" s="4">
        <f t="shared" ref="AB41:AB48" si="56">Y41</f>
        <v>6392.1897748800011</v>
      </c>
      <c r="AC41" s="4">
        <f t="shared" ref="AC41:AC48" si="57">$F41/$D41</f>
        <v>304.38998928000007</v>
      </c>
      <c r="AD41" s="4">
        <f t="shared" ref="AD41:AD48" si="58">AB41-AC41</f>
        <v>6087.7997856000011</v>
      </c>
      <c r="AE41" s="15">
        <f t="shared" ref="AE41:AE48" si="59">((AB41+AD41)/2)*0.035</f>
        <v>218.39981730840006</v>
      </c>
    </row>
    <row r="42" spans="2:31" ht="12.75" customHeight="1">
      <c r="B42" s="24" t="str">
        <f>'7c. Capital Charges'!A6</f>
        <v>Development Costs (25 Years useful life)</v>
      </c>
      <c r="C42" s="1" t="s">
        <v>75</v>
      </c>
      <c r="D42" s="23">
        <v>25</v>
      </c>
      <c r="F42" s="3">
        <f>'7c. Capital Charges'!D6/1000</f>
        <v>577.20000000000005</v>
      </c>
      <c r="H42" s="4">
        <f t="shared" si="40"/>
        <v>577.20000000000005</v>
      </c>
      <c r="I42" s="4">
        <f t="shared" si="41"/>
        <v>23.088000000000001</v>
      </c>
      <c r="J42" s="4">
        <f t="shared" si="42"/>
        <v>554.11200000000008</v>
      </c>
      <c r="K42" s="15">
        <f t="shared" si="43"/>
        <v>19.797960000000003</v>
      </c>
      <c r="M42" s="4">
        <f t="shared" si="44"/>
        <v>554.11200000000008</v>
      </c>
      <c r="N42" s="4">
        <f t="shared" si="45"/>
        <v>23.088000000000001</v>
      </c>
      <c r="O42" s="4">
        <f t="shared" si="46"/>
        <v>531.02400000000011</v>
      </c>
      <c r="P42" s="15">
        <f t="shared" si="47"/>
        <v>18.989880000000007</v>
      </c>
      <c r="R42" s="4">
        <f t="shared" si="48"/>
        <v>531.02400000000011</v>
      </c>
      <c r="S42" s="4">
        <f t="shared" si="49"/>
        <v>23.088000000000001</v>
      </c>
      <c r="T42" s="4">
        <f t="shared" si="50"/>
        <v>507.93600000000009</v>
      </c>
      <c r="U42" s="15">
        <f t="shared" si="51"/>
        <v>18.181800000000006</v>
      </c>
      <c r="W42" s="4">
        <f t="shared" si="52"/>
        <v>507.93600000000009</v>
      </c>
      <c r="X42" s="4">
        <f t="shared" si="53"/>
        <v>23.088000000000001</v>
      </c>
      <c r="Y42" s="4">
        <f t="shared" si="54"/>
        <v>484.84800000000007</v>
      </c>
      <c r="Z42" s="15">
        <f t="shared" si="55"/>
        <v>17.373720000000002</v>
      </c>
      <c r="AB42" s="4">
        <f t="shared" si="56"/>
        <v>484.84800000000007</v>
      </c>
      <c r="AC42" s="4">
        <f t="shared" si="57"/>
        <v>23.088000000000001</v>
      </c>
      <c r="AD42" s="4">
        <f t="shared" si="58"/>
        <v>461.76000000000005</v>
      </c>
      <c r="AE42" s="15">
        <f t="shared" si="59"/>
        <v>16.565640000000005</v>
      </c>
    </row>
    <row r="43" spans="2:31" ht="12.75" customHeight="1">
      <c r="B43" s="24"/>
      <c r="C43" s="1" t="s">
        <v>75</v>
      </c>
      <c r="D43" s="23">
        <v>25</v>
      </c>
      <c r="F43" s="3"/>
      <c r="H43" s="4">
        <f t="shared" si="40"/>
        <v>0</v>
      </c>
      <c r="I43" s="4">
        <f t="shared" si="41"/>
        <v>0</v>
      </c>
      <c r="J43" s="4">
        <f t="shared" si="42"/>
        <v>0</v>
      </c>
      <c r="K43" s="15">
        <f t="shared" si="43"/>
        <v>0</v>
      </c>
      <c r="M43" s="4">
        <f t="shared" si="44"/>
        <v>0</v>
      </c>
      <c r="N43" s="4">
        <f t="shared" si="45"/>
        <v>0</v>
      </c>
      <c r="O43" s="4">
        <f t="shared" si="46"/>
        <v>0</v>
      </c>
      <c r="P43" s="15">
        <f t="shared" si="47"/>
        <v>0</v>
      </c>
      <c r="R43" s="4">
        <f t="shared" si="48"/>
        <v>0</v>
      </c>
      <c r="S43" s="4">
        <f t="shared" si="49"/>
        <v>0</v>
      </c>
      <c r="T43" s="4">
        <f t="shared" si="50"/>
        <v>0</v>
      </c>
      <c r="U43" s="15">
        <f t="shared" si="51"/>
        <v>0</v>
      </c>
      <c r="W43" s="4">
        <f t="shared" si="52"/>
        <v>0</v>
      </c>
      <c r="X43" s="4">
        <f t="shared" si="53"/>
        <v>0</v>
      </c>
      <c r="Y43" s="4">
        <f t="shared" si="54"/>
        <v>0</v>
      </c>
      <c r="Z43" s="15">
        <f t="shared" si="55"/>
        <v>0</v>
      </c>
      <c r="AB43" s="4">
        <f t="shared" si="56"/>
        <v>0</v>
      </c>
      <c r="AC43" s="4">
        <f t="shared" si="57"/>
        <v>0</v>
      </c>
      <c r="AD43" s="4">
        <f t="shared" si="58"/>
        <v>0</v>
      </c>
      <c r="AE43" s="15">
        <f t="shared" si="59"/>
        <v>0</v>
      </c>
    </row>
    <row r="44" spans="2:31" ht="12.75" customHeight="1">
      <c r="B44" s="24" t="str">
        <f>'7c. Capital Charges'!A4</f>
        <v>Equipment (Medium Term Assets) (7 Years useful Life)</v>
      </c>
      <c r="C44" s="1" t="s">
        <v>74</v>
      </c>
      <c r="D44" s="23">
        <v>7</v>
      </c>
      <c r="F44" s="3">
        <f>'7c. Capital Charges'!D4/1000</f>
        <v>1225.08</v>
      </c>
      <c r="H44" s="4">
        <f t="shared" si="40"/>
        <v>1225.08</v>
      </c>
      <c r="I44" s="4">
        <f t="shared" si="41"/>
        <v>175.01142857142855</v>
      </c>
      <c r="J44" s="4">
        <f t="shared" si="42"/>
        <v>1050.0685714285714</v>
      </c>
      <c r="K44" s="15">
        <f t="shared" si="43"/>
        <v>39.815100000000001</v>
      </c>
      <c r="M44" s="4">
        <f t="shared" si="44"/>
        <v>1050.0685714285714</v>
      </c>
      <c r="N44" s="4">
        <f t="shared" si="45"/>
        <v>175.01142857142855</v>
      </c>
      <c r="O44" s="4">
        <f t="shared" si="46"/>
        <v>875.05714285714294</v>
      </c>
      <c r="P44" s="15">
        <f t="shared" si="47"/>
        <v>33.689700000000002</v>
      </c>
      <c r="R44" s="4">
        <f t="shared" si="48"/>
        <v>875.05714285714294</v>
      </c>
      <c r="S44" s="4">
        <f t="shared" si="49"/>
        <v>175.01142857142855</v>
      </c>
      <c r="T44" s="4">
        <f t="shared" si="50"/>
        <v>700.04571428571444</v>
      </c>
      <c r="U44" s="15">
        <f t="shared" si="51"/>
        <v>27.564300000000006</v>
      </c>
      <c r="W44" s="4">
        <f t="shared" si="52"/>
        <v>700.04571428571444</v>
      </c>
      <c r="X44" s="4">
        <f t="shared" si="53"/>
        <v>175.01142857142855</v>
      </c>
      <c r="Y44" s="4">
        <f t="shared" si="54"/>
        <v>525.03428571428594</v>
      </c>
      <c r="Z44" s="15">
        <f t="shared" si="55"/>
        <v>21.438900000000007</v>
      </c>
      <c r="AB44" s="4">
        <f t="shared" si="56"/>
        <v>525.03428571428594</v>
      </c>
      <c r="AC44" s="4">
        <f t="shared" si="57"/>
        <v>175.01142857142855</v>
      </c>
      <c r="AD44" s="4">
        <f t="shared" si="58"/>
        <v>350.02285714285739</v>
      </c>
      <c r="AE44" s="15">
        <f t="shared" si="59"/>
        <v>15.31350000000001</v>
      </c>
    </row>
    <row r="45" spans="2:31" ht="12.75" customHeight="1">
      <c r="B45" s="24"/>
      <c r="C45" s="1" t="s">
        <v>74</v>
      </c>
      <c r="D45" s="23">
        <v>7</v>
      </c>
      <c r="F45" s="3"/>
      <c r="H45" s="4">
        <f t="shared" si="40"/>
        <v>0</v>
      </c>
      <c r="I45" s="4">
        <f t="shared" si="41"/>
        <v>0</v>
      </c>
      <c r="J45" s="4">
        <f t="shared" si="42"/>
        <v>0</v>
      </c>
      <c r="K45" s="15">
        <f t="shared" si="43"/>
        <v>0</v>
      </c>
      <c r="M45" s="4">
        <f t="shared" si="44"/>
        <v>0</v>
      </c>
      <c r="N45" s="4">
        <f t="shared" si="45"/>
        <v>0</v>
      </c>
      <c r="O45" s="4">
        <f t="shared" si="46"/>
        <v>0</v>
      </c>
      <c r="P45" s="15">
        <f t="shared" si="47"/>
        <v>0</v>
      </c>
      <c r="R45" s="4">
        <f t="shared" si="48"/>
        <v>0</v>
      </c>
      <c r="S45" s="4">
        <f t="shared" si="49"/>
        <v>0</v>
      </c>
      <c r="T45" s="4">
        <f t="shared" si="50"/>
        <v>0</v>
      </c>
      <c r="U45" s="15">
        <f t="shared" si="51"/>
        <v>0</v>
      </c>
      <c r="W45" s="4">
        <f t="shared" si="52"/>
        <v>0</v>
      </c>
      <c r="X45" s="4">
        <f t="shared" si="53"/>
        <v>0</v>
      </c>
      <c r="Y45" s="4">
        <f t="shared" si="54"/>
        <v>0</v>
      </c>
      <c r="Z45" s="15">
        <f t="shared" si="55"/>
        <v>0</v>
      </c>
      <c r="AB45" s="4">
        <f t="shared" si="56"/>
        <v>0</v>
      </c>
      <c r="AC45" s="4">
        <f t="shared" si="57"/>
        <v>0</v>
      </c>
      <c r="AD45" s="4">
        <f t="shared" si="58"/>
        <v>0</v>
      </c>
      <c r="AE45" s="15">
        <f t="shared" si="59"/>
        <v>0</v>
      </c>
    </row>
    <row r="46" spans="2:31" ht="12.75" customHeight="1">
      <c r="C46" s="1" t="s">
        <v>74</v>
      </c>
      <c r="D46" s="23">
        <v>7</v>
      </c>
      <c r="F46" s="3"/>
      <c r="H46" s="4">
        <f t="shared" si="40"/>
        <v>0</v>
      </c>
      <c r="I46" s="4">
        <f t="shared" si="41"/>
        <v>0</v>
      </c>
      <c r="J46" s="4">
        <f t="shared" si="42"/>
        <v>0</v>
      </c>
      <c r="K46" s="15">
        <f t="shared" si="43"/>
        <v>0</v>
      </c>
      <c r="M46" s="4">
        <f t="shared" si="44"/>
        <v>0</v>
      </c>
      <c r="N46" s="4">
        <f t="shared" si="45"/>
        <v>0</v>
      </c>
      <c r="O46" s="4">
        <f t="shared" si="46"/>
        <v>0</v>
      </c>
      <c r="P46" s="15">
        <f t="shared" si="47"/>
        <v>0</v>
      </c>
      <c r="R46" s="4">
        <f t="shared" si="48"/>
        <v>0</v>
      </c>
      <c r="S46" s="4">
        <f t="shared" si="49"/>
        <v>0</v>
      </c>
      <c r="T46" s="4">
        <f t="shared" si="50"/>
        <v>0</v>
      </c>
      <c r="U46" s="15">
        <f t="shared" si="51"/>
        <v>0</v>
      </c>
      <c r="W46" s="4">
        <f t="shared" si="52"/>
        <v>0</v>
      </c>
      <c r="X46" s="4">
        <f t="shared" si="53"/>
        <v>0</v>
      </c>
      <c r="Y46" s="4">
        <f t="shared" si="54"/>
        <v>0</v>
      </c>
      <c r="Z46" s="15">
        <f t="shared" si="55"/>
        <v>0</v>
      </c>
      <c r="AB46" s="4">
        <f t="shared" si="56"/>
        <v>0</v>
      </c>
      <c r="AC46" s="4">
        <f t="shared" si="57"/>
        <v>0</v>
      </c>
      <c r="AD46" s="4">
        <f t="shared" si="58"/>
        <v>0</v>
      </c>
      <c r="AE46" s="15">
        <f t="shared" si="59"/>
        <v>0</v>
      </c>
    </row>
    <row r="47" spans="2:31" ht="12.75" customHeight="1">
      <c r="C47" s="1" t="s">
        <v>31</v>
      </c>
      <c r="D47" s="23">
        <v>5</v>
      </c>
      <c r="F47" s="3"/>
      <c r="H47" s="4">
        <f t="shared" si="40"/>
        <v>0</v>
      </c>
      <c r="I47" s="4">
        <f t="shared" si="41"/>
        <v>0</v>
      </c>
      <c r="J47" s="4">
        <f t="shared" si="42"/>
        <v>0</v>
      </c>
      <c r="K47" s="15">
        <f t="shared" si="43"/>
        <v>0</v>
      </c>
      <c r="M47" s="4">
        <f t="shared" si="44"/>
        <v>0</v>
      </c>
      <c r="N47" s="4">
        <f t="shared" si="45"/>
        <v>0</v>
      </c>
      <c r="O47" s="4">
        <f t="shared" si="46"/>
        <v>0</v>
      </c>
      <c r="P47" s="15">
        <f t="shared" si="47"/>
        <v>0</v>
      </c>
      <c r="R47" s="4">
        <f t="shared" si="48"/>
        <v>0</v>
      </c>
      <c r="S47" s="4">
        <f t="shared" si="49"/>
        <v>0</v>
      </c>
      <c r="T47" s="4">
        <f t="shared" si="50"/>
        <v>0</v>
      </c>
      <c r="U47" s="15">
        <f t="shared" si="51"/>
        <v>0</v>
      </c>
      <c r="W47" s="4">
        <f t="shared" si="52"/>
        <v>0</v>
      </c>
      <c r="X47" s="4">
        <f t="shared" si="53"/>
        <v>0</v>
      </c>
      <c r="Y47" s="4">
        <f t="shared" si="54"/>
        <v>0</v>
      </c>
      <c r="Z47" s="15">
        <f t="shared" si="55"/>
        <v>0</v>
      </c>
      <c r="AB47" s="4">
        <f t="shared" si="56"/>
        <v>0</v>
      </c>
      <c r="AC47" s="4">
        <f t="shared" si="57"/>
        <v>0</v>
      </c>
      <c r="AD47" s="4">
        <f t="shared" si="58"/>
        <v>0</v>
      </c>
      <c r="AE47" s="15">
        <f t="shared" si="59"/>
        <v>0</v>
      </c>
    </row>
    <row r="48" spans="2:31" ht="12.75" customHeight="1">
      <c r="C48" s="1" t="s">
        <v>31</v>
      </c>
      <c r="D48" s="23">
        <v>3</v>
      </c>
      <c r="F48" s="3"/>
      <c r="H48" s="4">
        <f t="shared" si="40"/>
        <v>0</v>
      </c>
      <c r="I48" s="4">
        <f t="shared" si="41"/>
        <v>0</v>
      </c>
      <c r="J48" s="4">
        <f t="shared" si="42"/>
        <v>0</v>
      </c>
      <c r="K48" s="15">
        <f t="shared" si="43"/>
        <v>0</v>
      </c>
      <c r="M48" s="4">
        <f t="shared" si="44"/>
        <v>0</v>
      </c>
      <c r="N48" s="4">
        <f t="shared" si="45"/>
        <v>0</v>
      </c>
      <c r="O48" s="4">
        <f t="shared" si="46"/>
        <v>0</v>
      </c>
      <c r="P48" s="15">
        <f t="shared" si="47"/>
        <v>0</v>
      </c>
      <c r="R48" s="4">
        <f t="shared" si="48"/>
        <v>0</v>
      </c>
      <c r="S48" s="4">
        <f t="shared" si="49"/>
        <v>0</v>
      </c>
      <c r="T48" s="4">
        <f t="shared" si="50"/>
        <v>0</v>
      </c>
      <c r="U48" s="15">
        <f t="shared" si="51"/>
        <v>0</v>
      </c>
      <c r="W48" s="4">
        <f t="shared" si="52"/>
        <v>0</v>
      </c>
      <c r="X48" s="4">
        <f t="shared" si="53"/>
        <v>0</v>
      </c>
      <c r="Y48" s="4">
        <f t="shared" si="54"/>
        <v>0</v>
      </c>
      <c r="Z48" s="15">
        <f t="shared" si="55"/>
        <v>0</v>
      </c>
      <c r="AB48" s="4">
        <f t="shared" si="56"/>
        <v>0</v>
      </c>
      <c r="AC48" s="4">
        <f t="shared" si="57"/>
        <v>0</v>
      </c>
      <c r="AD48" s="4">
        <f t="shared" si="58"/>
        <v>0</v>
      </c>
      <c r="AE48" s="15">
        <f t="shared" si="59"/>
        <v>0</v>
      </c>
    </row>
    <row r="49" spans="2:31" s="49" customFormat="1" ht="12.75" customHeight="1">
      <c r="B49" s="49" t="s">
        <v>32</v>
      </c>
      <c r="D49" s="50"/>
      <c r="E49" s="50"/>
      <c r="F49" s="51">
        <f>SUM(F41:F48)</f>
        <v>9412.0297320000009</v>
      </c>
      <c r="H49" s="51">
        <f>SUM(H41:H48)</f>
        <v>9412.0297320000009</v>
      </c>
      <c r="I49" s="52">
        <f>SUM(I41:I48)</f>
        <v>502.48941785142864</v>
      </c>
      <c r="J49" s="51">
        <f>SUM(J41:J48)</f>
        <v>8909.5403141485731</v>
      </c>
      <c r="K49" s="53">
        <f>SUM(K41:K48)</f>
        <v>320.62747580760004</v>
      </c>
      <c r="M49" s="51">
        <f>SUM(M41:M48)</f>
        <v>8909.5403141485731</v>
      </c>
      <c r="N49" s="52">
        <f>SUM(N41:N48)</f>
        <v>502.48941785142864</v>
      </c>
      <c r="O49" s="51">
        <f>SUM(O41:O48)</f>
        <v>8407.0508962971435</v>
      </c>
      <c r="P49" s="53">
        <f>SUM(P41:P48)</f>
        <v>303.04034618280008</v>
      </c>
      <c r="R49" s="51">
        <f>SUM(R41:R48)</f>
        <v>8407.0508962971435</v>
      </c>
      <c r="S49" s="52">
        <f>SUM(S41:S48)</f>
        <v>502.48941785142864</v>
      </c>
      <c r="T49" s="51">
        <f>SUM(T41:T48)</f>
        <v>7904.5614784457157</v>
      </c>
      <c r="U49" s="53">
        <f>SUM(U41:U48)</f>
        <v>285.45321655800007</v>
      </c>
      <c r="W49" s="51">
        <f>SUM(W41:W48)</f>
        <v>7904.5614784457157</v>
      </c>
      <c r="X49" s="52">
        <f>SUM(X41:X48)</f>
        <v>502.48941785142864</v>
      </c>
      <c r="Y49" s="51">
        <f>SUM(Y41:Y48)</f>
        <v>7402.072060594287</v>
      </c>
      <c r="Z49" s="53">
        <f>SUM(Z41:Z48)</f>
        <v>267.86608693320005</v>
      </c>
      <c r="AB49" s="51">
        <f>SUM(AB41:AB48)</f>
        <v>7402.072060594287</v>
      </c>
      <c r="AC49" s="52">
        <f>SUM(AC41:AC48)</f>
        <v>502.48941785142864</v>
      </c>
      <c r="AD49" s="51">
        <f>SUM(AD41:AD48)</f>
        <v>6899.5826427428583</v>
      </c>
      <c r="AE49" s="53">
        <f>SUM(AE41:AE48)</f>
        <v>250.27895730840007</v>
      </c>
    </row>
    <row r="51" spans="2:31" ht="12.75" customHeight="1"/>
    <row r="52" spans="2:31" ht="12.75" hidden="1" customHeight="1">
      <c r="B52" s="1" t="s">
        <v>17</v>
      </c>
      <c r="F52" s="25" t="s">
        <v>27</v>
      </c>
      <c r="H52" s="25" t="s">
        <v>21</v>
      </c>
      <c r="I52" s="25" t="s">
        <v>21</v>
      </c>
      <c r="J52" s="25" t="s">
        <v>21</v>
      </c>
      <c r="K52" s="25" t="s">
        <v>21</v>
      </c>
      <c r="M52" s="25" t="s">
        <v>22</v>
      </c>
      <c r="N52" s="25" t="s">
        <v>22</v>
      </c>
      <c r="O52" s="25" t="s">
        <v>22</v>
      </c>
      <c r="P52" s="25" t="s">
        <v>22</v>
      </c>
      <c r="R52" s="25" t="s">
        <v>23</v>
      </c>
      <c r="S52" s="25" t="s">
        <v>23</v>
      </c>
      <c r="T52" s="25" t="s">
        <v>23</v>
      </c>
      <c r="U52" s="25" t="s">
        <v>23</v>
      </c>
      <c r="W52" s="25" t="s">
        <v>24</v>
      </c>
      <c r="X52" s="25" t="s">
        <v>24</v>
      </c>
      <c r="Y52" s="25" t="s">
        <v>24</v>
      </c>
      <c r="Z52" s="25" t="s">
        <v>24</v>
      </c>
      <c r="AB52" s="25" t="s">
        <v>25</v>
      </c>
      <c r="AC52" s="25" t="s">
        <v>25</v>
      </c>
      <c r="AD52" s="25" t="s">
        <v>25</v>
      </c>
      <c r="AE52" s="25" t="s">
        <v>25</v>
      </c>
    </row>
    <row r="53" spans="2:31" ht="12.75" hidden="1" customHeight="1">
      <c r="B53" s="47" t="str">
        <f>'2. Standing data'!C16</f>
        <v xml:space="preserve">LNWH DC &amp; IP + NWL DC &amp; IP </v>
      </c>
      <c r="F53" s="45"/>
      <c r="H53" s="45"/>
      <c r="I53" s="45"/>
      <c r="J53" s="45"/>
      <c r="K53" s="46"/>
      <c r="M53" s="45"/>
      <c r="N53" s="45"/>
      <c r="O53" s="45"/>
      <c r="P53" s="46"/>
      <c r="R53" s="45"/>
      <c r="S53" s="45"/>
      <c r="T53" s="45"/>
      <c r="U53" s="46"/>
      <c r="W53" s="45"/>
      <c r="X53" s="45"/>
      <c r="Y53" s="45"/>
      <c r="Z53" s="46"/>
      <c r="AB53" s="45"/>
      <c r="AC53" s="45"/>
      <c r="AD53" s="45"/>
      <c r="AE53" s="46"/>
    </row>
    <row r="54" spans="2:31" ht="12.75" hidden="1" customHeight="1">
      <c r="D54" s="23" t="s">
        <v>45</v>
      </c>
      <c r="F54" s="26" t="s">
        <v>26</v>
      </c>
      <c r="H54" s="26" t="s">
        <v>26</v>
      </c>
      <c r="I54" s="26" t="s">
        <v>26</v>
      </c>
      <c r="J54" s="26" t="s">
        <v>26</v>
      </c>
      <c r="K54" s="31" t="s">
        <v>26</v>
      </c>
      <c r="M54" s="26" t="s">
        <v>26</v>
      </c>
      <c r="N54" s="26" t="s">
        <v>26</v>
      </c>
      <c r="O54" s="26" t="s">
        <v>26</v>
      </c>
      <c r="P54" s="31" t="s">
        <v>26</v>
      </c>
      <c r="R54" s="26" t="s">
        <v>26</v>
      </c>
      <c r="S54" s="26" t="s">
        <v>26</v>
      </c>
      <c r="T54" s="26" t="s">
        <v>26</v>
      </c>
      <c r="U54" s="31" t="s">
        <v>26</v>
      </c>
      <c r="W54" s="26" t="s">
        <v>26</v>
      </c>
      <c r="X54" s="26" t="s">
        <v>26</v>
      </c>
      <c r="Y54" s="26" t="s">
        <v>26</v>
      </c>
      <c r="Z54" s="31" t="s">
        <v>26</v>
      </c>
      <c r="AB54" s="26" t="s">
        <v>26</v>
      </c>
      <c r="AC54" s="26" t="s">
        <v>26</v>
      </c>
      <c r="AD54" s="26" t="s">
        <v>26</v>
      </c>
      <c r="AE54" s="31" t="s">
        <v>26</v>
      </c>
    </row>
    <row r="55" spans="2:31" ht="12.75" hidden="1" customHeight="1">
      <c r="B55" s="24"/>
      <c r="C55" s="24"/>
      <c r="F55" s="29"/>
      <c r="H55" s="30" t="s">
        <v>47</v>
      </c>
      <c r="I55" s="30" t="s">
        <v>48</v>
      </c>
      <c r="J55" s="30" t="s">
        <v>50</v>
      </c>
      <c r="K55" s="32" t="s">
        <v>51</v>
      </c>
      <c r="M55" s="30" t="s">
        <v>47</v>
      </c>
      <c r="N55" s="30" t="s">
        <v>48</v>
      </c>
      <c r="O55" s="30" t="s">
        <v>50</v>
      </c>
      <c r="P55" s="32" t="s">
        <v>51</v>
      </c>
      <c r="R55" s="30" t="s">
        <v>47</v>
      </c>
      <c r="S55" s="30" t="s">
        <v>48</v>
      </c>
      <c r="T55" s="30" t="s">
        <v>50</v>
      </c>
      <c r="U55" s="32" t="s">
        <v>51</v>
      </c>
      <c r="W55" s="30" t="s">
        <v>47</v>
      </c>
      <c r="X55" s="30" t="s">
        <v>48</v>
      </c>
      <c r="Y55" s="30" t="s">
        <v>50</v>
      </c>
      <c r="Z55" s="32" t="s">
        <v>51</v>
      </c>
      <c r="AB55" s="30" t="s">
        <v>47</v>
      </c>
      <c r="AC55" s="30" t="s">
        <v>48</v>
      </c>
      <c r="AD55" s="30" t="s">
        <v>50</v>
      </c>
      <c r="AE55" s="32" t="s">
        <v>51</v>
      </c>
    </row>
    <row r="56" spans="2:31" ht="12.75" hidden="1" customHeight="1">
      <c r="B56" s="24" t="str">
        <f>'7c. Capital Charges'!A5</f>
        <v>Refurbishment (Aligned to PAC Development) (25 Years useful life)</v>
      </c>
      <c r="C56" s="1" t="s">
        <v>75</v>
      </c>
      <c r="D56" s="23">
        <v>25</v>
      </c>
      <c r="F56" s="3">
        <f>'7c. Capital Charges'!E5/1000</f>
        <v>15219.499464000002</v>
      </c>
      <c r="H56" s="4">
        <f t="shared" ref="H56:H63" si="60">F56</f>
        <v>15219.499464000002</v>
      </c>
      <c r="I56" s="4">
        <f t="shared" ref="I56:I63" si="61">$F56/$D56</f>
        <v>608.77997856000013</v>
      </c>
      <c r="J56" s="4">
        <f t="shared" ref="J56:J63" si="62">F56-I56</f>
        <v>14610.719485440002</v>
      </c>
      <c r="K56" s="15">
        <f t="shared" ref="K56:K63" si="63">((H56+J56)/2)*0.035</f>
        <v>522.02883161520015</v>
      </c>
      <c r="M56" s="4">
        <f t="shared" ref="M56:M63" si="64">J56</f>
        <v>14610.719485440002</v>
      </c>
      <c r="N56" s="4">
        <f t="shared" ref="N56:N63" si="65">$F56/$D56</f>
        <v>608.77997856000013</v>
      </c>
      <c r="O56" s="4">
        <f t="shared" ref="O56:O63" si="66">M56-N56</f>
        <v>14001.939506880002</v>
      </c>
      <c r="P56" s="15">
        <f t="shared" ref="P56:P63" si="67">((M56+O56)/2)*0.035</f>
        <v>500.72153236560013</v>
      </c>
      <c r="R56" s="4">
        <f t="shared" ref="R56:R63" si="68">O56</f>
        <v>14001.939506880002</v>
      </c>
      <c r="S56" s="4">
        <f t="shared" ref="S56:S63" si="69">$F56/$D56</f>
        <v>608.77997856000013</v>
      </c>
      <c r="T56" s="4">
        <f t="shared" ref="T56:T63" si="70">R56-S56</f>
        <v>13393.159528320002</v>
      </c>
      <c r="U56" s="15">
        <f t="shared" ref="U56:U63" si="71">((R56+T56)/2)*0.035</f>
        <v>479.4142331160001</v>
      </c>
      <c r="W56" s="4">
        <f t="shared" ref="W56:W63" si="72">T56</f>
        <v>13393.159528320002</v>
      </c>
      <c r="X56" s="4">
        <f t="shared" ref="X56:X63" si="73">$F56/$D56</f>
        <v>608.77997856000013</v>
      </c>
      <c r="Y56" s="4">
        <f t="shared" ref="Y56:Y63" si="74">W56-X56</f>
        <v>12784.379549760002</v>
      </c>
      <c r="Z56" s="15">
        <f t="shared" ref="Z56:Z63" si="75">((W56+Y56)/2)*0.035</f>
        <v>458.10693386640014</v>
      </c>
      <c r="AB56" s="4">
        <f t="shared" ref="AB56:AB63" si="76">Y56</f>
        <v>12784.379549760002</v>
      </c>
      <c r="AC56" s="4">
        <f t="shared" ref="AC56:AC63" si="77">$F56/$D56</f>
        <v>608.77997856000013</v>
      </c>
      <c r="AD56" s="4">
        <f t="shared" ref="AD56:AD63" si="78">AB56-AC56</f>
        <v>12175.599571200002</v>
      </c>
      <c r="AE56" s="15">
        <f t="shared" ref="AE56:AE63" si="79">((AB56+AD56)/2)*0.035</f>
        <v>436.79963461680012</v>
      </c>
    </row>
    <row r="57" spans="2:31" ht="12.75" hidden="1" customHeight="1">
      <c r="B57" s="24" t="str">
        <f>'7c. Capital Charges'!A6</f>
        <v>Development Costs (25 Years useful life)</v>
      </c>
      <c r="C57" s="1" t="s">
        <v>75</v>
      </c>
      <c r="D57" s="23">
        <v>25</v>
      </c>
      <c r="F57" s="3">
        <f>'7c. Capital Charges'!E6/1000</f>
        <v>577.20000000000005</v>
      </c>
      <c r="H57" s="4">
        <f t="shared" si="60"/>
        <v>577.20000000000005</v>
      </c>
      <c r="I57" s="4">
        <f t="shared" si="61"/>
        <v>23.088000000000001</v>
      </c>
      <c r="J57" s="4">
        <f t="shared" si="62"/>
        <v>554.11200000000008</v>
      </c>
      <c r="K57" s="15">
        <f t="shared" si="63"/>
        <v>19.797960000000003</v>
      </c>
      <c r="M57" s="4">
        <f t="shared" si="64"/>
        <v>554.11200000000008</v>
      </c>
      <c r="N57" s="4">
        <f t="shared" si="65"/>
        <v>23.088000000000001</v>
      </c>
      <c r="O57" s="4">
        <f t="shared" si="66"/>
        <v>531.02400000000011</v>
      </c>
      <c r="P57" s="15">
        <f t="shared" si="67"/>
        <v>18.989880000000007</v>
      </c>
      <c r="R57" s="4">
        <f t="shared" si="68"/>
        <v>531.02400000000011</v>
      </c>
      <c r="S57" s="4">
        <f t="shared" si="69"/>
        <v>23.088000000000001</v>
      </c>
      <c r="T57" s="4">
        <f t="shared" si="70"/>
        <v>507.93600000000009</v>
      </c>
      <c r="U57" s="15">
        <f t="shared" si="71"/>
        <v>18.181800000000006</v>
      </c>
      <c r="W57" s="4">
        <f t="shared" si="72"/>
        <v>507.93600000000009</v>
      </c>
      <c r="X57" s="4">
        <f t="shared" si="73"/>
        <v>23.088000000000001</v>
      </c>
      <c r="Y57" s="4">
        <f t="shared" si="74"/>
        <v>484.84800000000007</v>
      </c>
      <c r="Z57" s="15">
        <f t="shared" si="75"/>
        <v>17.373720000000002</v>
      </c>
      <c r="AB57" s="4">
        <f t="shared" si="76"/>
        <v>484.84800000000007</v>
      </c>
      <c r="AC57" s="4">
        <f t="shared" si="77"/>
        <v>23.088000000000001</v>
      </c>
      <c r="AD57" s="4">
        <f t="shared" si="78"/>
        <v>461.76000000000005</v>
      </c>
      <c r="AE57" s="15">
        <f t="shared" si="79"/>
        <v>16.565640000000005</v>
      </c>
    </row>
    <row r="58" spans="2:31" ht="12.75" hidden="1" customHeight="1">
      <c r="B58" s="24"/>
      <c r="C58" s="1" t="s">
        <v>75</v>
      </c>
      <c r="D58" s="23">
        <v>25</v>
      </c>
      <c r="F58" s="3"/>
      <c r="H58" s="4">
        <f t="shared" si="60"/>
        <v>0</v>
      </c>
      <c r="I58" s="4">
        <f t="shared" si="61"/>
        <v>0</v>
      </c>
      <c r="J58" s="4">
        <f t="shared" si="62"/>
        <v>0</v>
      </c>
      <c r="K58" s="15">
        <f t="shared" si="63"/>
        <v>0</v>
      </c>
      <c r="M58" s="4">
        <f t="shared" si="64"/>
        <v>0</v>
      </c>
      <c r="N58" s="4">
        <f t="shared" si="65"/>
        <v>0</v>
      </c>
      <c r="O58" s="4">
        <f t="shared" si="66"/>
        <v>0</v>
      </c>
      <c r="P58" s="15">
        <f t="shared" si="67"/>
        <v>0</v>
      </c>
      <c r="R58" s="4">
        <f t="shared" si="68"/>
        <v>0</v>
      </c>
      <c r="S58" s="4">
        <f t="shared" si="69"/>
        <v>0</v>
      </c>
      <c r="T58" s="4">
        <f t="shared" si="70"/>
        <v>0</v>
      </c>
      <c r="U58" s="15">
        <f t="shared" si="71"/>
        <v>0</v>
      </c>
      <c r="W58" s="4">
        <f t="shared" si="72"/>
        <v>0</v>
      </c>
      <c r="X58" s="4">
        <f t="shared" si="73"/>
        <v>0</v>
      </c>
      <c r="Y58" s="4">
        <f t="shared" si="74"/>
        <v>0</v>
      </c>
      <c r="Z58" s="15">
        <f t="shared" si="75"/>
        <v>0</v>
      </c>
      <c r="AB58" s="4">
        <f t="shared" si="76"/>
        <v>0</v>
      </c>
      <c r="AC58" s="4">
        <f t="shared" si="77"/>
        <v>0</v>
      </c>
      <c r="AD58" s="4">
        <f t="shared" si="78"/>
        <v>0</v>
      </c>
      <c r="AE58" s="15">
        <f t="shared" si="79"/>
        <v>0</v>
      </c>
    </row>
    <row r="59" spans="2:31" ht="12.75" hidden="1" customHeight="1">
      <c r="B59" s="24" t="str">
        <f>'7c. Capital Charges'!A4</f>
        <v>Equipment (Medium Term Assets) (7 Years useful Life)</v>
      </c>
      <c r="C59" s="1" t="s">
        <v>74</v>
      </c>
      <c r="D59" s="23">
        <v>7</v>
      </c>
      <c r="F59" s="3">
        <f>'7c. Capital Charges'!E4/1000</f>
        <v>2450.16</v>
      </c>
      <c r="H59" s="4">
        <f t="shared" si="60"/>
        <v>2450.16</v>
      </c>
      <c r="I59" s="4">
        <f t="shared" si="61"/>
        <v>350.02285714285711</v>
      </c>
      <c r="J59" s="4">
        <f t="shared" si="62"/>
        <v>2100.1371428571429</v>
      </c>
      <c r="K59" s="15">
        <f t="shared" si="63"/>
        <v>79.630200000000002</v>
      </c>
      <c r="M59" s="4">
        <f t="shared" si="64"/>
        <v>2100.1371428571429</v>
      </c>
      <c r="N59" s="4">
        <f t="shared" si="65"/>
        <v>350.02285714285711</v>
      </c>
      <c r="O59" s="4">
        <f t="shared" si="66"/>
        <v>1750.1142857142859</v>
      </c>
      <c r="P59" s="15">
        <f t="shared" si="67"/>
        <v>67.379400000000004</v>
      </c>
      <c r="R59" s="4">
        <f t="shared" si="68"/>
        <v>1750.1142857142859</v>
      </c>
      <c r="S59" s="4">
        <f t="shared" si="69"/>
        <v>350.02285714285711</v>
      </c>
      <c r="T59" s="4">
        <f t="shared" si="70"/>
        <v>1400.0914285714289</v>
      </c>
      <c r="U59" s="15">
        <f t="shared" si="71"/>
        <v>55.128600000000013</v>
      </c>
      <c r="W59" s="4">
        <f t="shared" si="72"/>
        <v>1400.0914285714289</v>
      </c>
      <c r="X59" s="4">
        <f t="shared" si="73"/>
        <v>350.02285714285711</v>
      </c>
      <c r="Y59" s="4">
        <f t="shared" si="74"/>
        <v>1050.0685714285719</v>
      </c>
      <c r="Z59" s="15">
        <f t="shared" si="75"/>
        <v>42.877800000000015</v>
      </c>
      <c r="AB59" s="4">
        <f t="shared" si="76"/>
        <v>1050.0685714285719</v>
      </c>
      <c r="AC59" s="4">
        <f t="shared" si="77"/>
        <v>350.02285714285711</v>
      </c>
      <c r="AD59" s="4">
        <f t="shared" si="78"/>
        <v>700.04571428571478</v>
      </c>
      <c r="AE59" s="15">
        <f t="shared" si="79"/>
        <v>30.62700000000002</v>
      </c>
    </row>
    <row r="60" spans="2:31" ht="12.75" hidden="1" customHeight="1">
      <c r="B60" s="24"/>
      <c r="C60" s="1" t="s">
        <v>74</v>
      </c>
      <c r="D60" s="23">
        <v>7</v>
      </c>
      <c r="F60" s="3"/>
      <c r="H60" s="4">
        <f t="shared" si="60"/>
        <v>0</v>
      </c>
      <c r="I60" s="4">
        <f t="shared" si="61"/>
        <v>0</v>
      </c>
      <c r="J60" s="4">
        <f t="shared" si="62"/>
        <v>0</v>
      </c>
      <c r="K60" s="15">
        <f t="shared" si="63"/>
        <v>0</v>
      </c>
      <c r="M60" s="4">
        <f t="shared" si="64"/>
        <v>0</v>
      </c>
      <c r="N60" s="4">
        <f t="shared" si="65"/>
        <v>0</v>
      </c>
      <c r="O60" s="4">
        <f t="shared" si="66"/>
        <v>0</v>
      </c>
      <c r="P60" s="15">
        <f t="shared" si="67"/>
        <v>0</v>
      </c>
      <c r="R60" s="4">
        <f t="shared" si="68"/>
        <v>0</v>
      </c>
      <c r="S60" s="4">
        <f t="shared" si="69"/>
        <v>0</v>
      </c>
      <c r="T60" s="4">
        <f t="shared" si="70"/>
        <v>0</v>
      </c>
      <c r="U60" s="15">
        <f t="shared" si="71"/>
        <v>0</v>
      </c>
      <c r="W60" s="4">
        <f t="shared" si="72"/>
        <v>0</v>
      </c>
      <c r="X60" s="4">
        <f t="shared" si="73"/>
        <v>0</v>
      </c>
      <c r="Y60" s="4">
        <f t="shared" si="74"/>
        <v>0</v>
      </c>
      <c r="Z60" s="15">
        <f t="shared" si="75"/>
        <v>0</v>
      </c>
      <c r="AB60" s="4">
        <f t="shared" si="76"/>
        <v>0</v>
      </c>
      <c r="AC60" s="4">
        <f t="shared" si="77"/>
        <v>0</v>
      </c>
      <c r="AD60" s="4">
        <f t="shared" si="78"/>
        <v>0</v>
      </c>
      <c r="AE60" s="15">
        <f t="shared" si="79"/>
        <v>0</v>
      </c>
    </row>
    <row r="61" spans="2:31" ht="12.75" hidden="1" customHeight="1">
      <c r="C61" s="1" t="s">
        <v>74</v>
      </c>
      <c r="D61" s="23">
        <v>7</v>
      </c>
      <c r="F61" s="3"/>
      <c r="H61" s="4">
        <f t="shared" si="60"/>
        <v>0</v>
      </c>
      <c r="I61" s="4">
        <f t="shared" si="61"/>
        <v>0</v>
      </c>
      <c r="J61" s="4">
        <f t="shared" si="62"/>
        <v>0</v>
      </c>
      <c r="K61" s="15">
        <f t="shared" si="63"/>
        <v>0</v>
      </c>
      <c r="M61" s="4">
        <f t="shared" si="64"/>
        <v>0</v>
      </c>
      <c r="N61" s="4">
        <f t="shared" si="65"/>
        <v>0</v>
      </c>
      <c r="O61" s="4">
        <f t="shared" si="66"/>
        <v>0</v>
      </c>
      <c r="P61" s="15">
        <f t="shared" si="67"/>
        <v>0</v>
      </c>
      <c r="R61" s="4">
        <f t="shared" si="68"/>
        <v>0</v>
      </c>
      <c r="S61" s="4">
        <f t="shared" si="69"/>
        <v>0</v>
      </c>
      <c r="T61" s="4">
        <f t="shared" si="70"/>
        <v>0</v>
      </c>
      <c r="U61" s="15">
        <f t="shared" si="71"/>
        <v>0</v>
      </c>
      <c r="W61" s="4">
        <f t="shared" si="72"/>
        <v>0</v>
      </c>
      <c r="X61" s="4">
        <f t="shared" si="73"/>
        <v>0</v>
      </c>
      <c r="Y61" s="4">
        <f t="shared" si="74"/>
        <v>0</v>
      </c>
      <c r="Z61" s="15">
        <f t="shared" si="75"/>
        <v>0</v>
      </c>
      <c r="AB61" s="4">
        <f t="shared" si="76"/>
        <v>0</v>
      </c>
      <c r="AC61" s="4">
        <f t="shared" si="77"/>
        <v>0</v>
      </c>
      <c r="AD61" s="4">
        <f t="shared" si="78"/>
        <v>0</v>
      </c>
      <c r="AE61" s="15">
        <f t="shared" si="79"/>
        <v>0</v>
      </c>
    </row>
    <row r="62" spans="2:31" ht="12.75" hidden="1" customHeight="1">
      <c r="C62" s="1" t="s">
        <v>31</v>
      </c>
      <c r="D62" s="23">
        <v>5</v>
      </c>
      <c r="F62" s="3"/>
      <c r="H62" s="4">
        <f t="shared" si="60"/>
        <v>0</v>
      </c>
      <c r="I62" s="4">
        <f t="shared" si="61"/>
        <v>0</v>
      </c>
      <c r="J62" s="4">
        <f t="shared" si="62"/>
        <v>0</v>
      </c>
      <c r="K62" s="15">
        <f t="shared" si="63"/>
        <v>0</v>
      </c>
      <c r="M62" s="4">
        <f t="shared" si="64"/>
        <v>0</v>
      </c>
      <c r="N62" s="4">
        <f t="shared" si="65"/>
        <v>0</v>
      </c>
      <c r="O62" s="4">
        <f t="shared" si="66"/>
        <v>0</v>
      </c>
      <c r="P62" s="15">
        <f t="shared" si="67"/>
        <v>0</v>
      </c>
      <c r="R62" s="4">
        <f t="shared" si="68"/>
        <v>0</v>
      </c>
      <c r="S62" s="4">
        <f t="shared" si="69"/>
        <v>0</v>
      </c>
      <c r="T62" s="4">
        <f t="shared" si="70"/>
        <v>0</v>
      </c>
      <c r="U62" s="15">
        <f t="shared" si="71"/>
        <v>0</v>
      </c>
      <c r="W62" s="4">
        <f t="shared" si="72"/>
        <v>0</v>
      </c>
      <c r="X62" s="4">
        <f t="shared" si="73"/>
        <v>0</v>
      </c>
      <c r="Y62" s="4">
        <f t="shared" si="74"/>
        <v>0</v>
      </c>
      <c r="Z62" s="15">
        <f t="shared" si="75"/>
        <v>0</v>
      </c>
      <c r="AB62" s="4">
        <f t="shared" si="76"/>
        <v>0</v>
      </c>
      <c r="AC62" s="4">
        <f t="shared" si="77"/>
        <v>0</v>
      </c>
      <c r="AD62" s="4">
        <f t="shared" si="78"/>
        <v>0</v>
      </c>
      <c r="AE62" s="15">
        <f t="shared" si="79"/>
        <v>0</v>
      </c>
    </row>
    <row r="63" spans="2:31" ht="12.75" hidden="1" customHeight="1">
      <c r="C63" s="1" t="s">
        <v>31</v>
      </c>
      <c r="D63" s="23">
        <v>3</v>
      </c>
      <c r="F63" s="3"/>
      <c r="H63" s="4">
        <f t="shared" si="60"/>
        <v>0</v>
      </c>
      <c r="I63" s="4">
        <f t="shared" si="61"/>
        <v>0</v>
      </c>
      <c r="J63" s="4">
        <f t="shared" si="62"/>
        <v>0</v>
      </c>
      <c r="K63" s="15">
        <f t="shared" si="63"/>
        <v>0</v>
      </c>
      <c r="M63" s="4">
        <f t="shared" si="64"/>
        <v>0</v>
      </c>
      <c r="N63" s="4">
        <f t="shared" si="65"/>
        <v>0</v>
      </c>
      <c r="O63" s="4">
        <f t="shared" si="66"/>
        <v>0</v>
      </c>
      <c r="P63" s="15">
        <f t="shared" si="67"/>
        <v>0</v>
      </c>
      <c r="R63" s="4">
        <f t="shared" si="68"/>
        <v>0</v>
      </c>
      <c r="S63" s="4">
        <f t="shared" si="69"/>
        <v>0</v>
      </c>
      <c r="T63" s="4">
        <f t="shared" si="70"/>
        <v>0</v>
      </c>
      <c r="U63" s="15">
        <f t="shared" si="71"/>
        <v>0</v>
      </c>
      <c r="W63" s="4">
        <f t="shared" si="72"/>
        <v>0</v>
      </c>
      <c r="X63" s="4">
        <f t="shared" si="73"/>
        <v>0</v>
      </c>
      <c r="Y63" s="4">
        <f t="shared" si="74"/>
        <v>0</v>
      </c>
      <c r="Z63" s="15">
        <f t="shared" si="75"/>
        <v>0</v>
      </c>
      <c r="AB63" s="4">
        <f t="shared" si="76"/>
        <v>0</v>
      </c>
      <c r="AC63" s="4">
        <f t="shared" si="77"/>
        <v>0</v>
      </c>
      <c r="AD63" s="4">
        <f t="shared" si="78"/>
        <v>0</v>
      </c>
      <c r="AE63" s="15">
        <f t="shared" si="79"/>
        <v>0</v>
      </c>
    </row>
    <row r="64" spans="2:31" s="49" customFormat="1" ht="12.75" hidden="1" customHeight="1">
      <c r="B64" s="49" t="s">
        <v>32</v>
      </c>
      <c r="D64" s="50"/>
      <c r="E64" s="50"/>
      <c r="F64" s="51">
        <f>SUM(F56:F63)</f>
        <v>18246.859464000001</v>
      </c>
      <c r="H64" s="51">
        <f>SUM(H56:H63)</f>
        <v>18246.859464000001</v>
      </c>
      <c r="I64" s="52">
        <f>SUM(I56:I63)</f>
        <v>981.8908357028572</v>
      </c>
      <c r="J64" s="51">
        <f>SUM(J56:J63)</f>
        <v>17264.968628297145</v>
      </c>
      <c r="K64" s="53">
        <f>SUM(K56:K63)</f>
        <v>621.4569916152002</v>
      </c>
      <c r="M64" s="51">
        <f>SUM(M56:M63)</f>
        <v>17264.968628297145</v>
      </c>
      <c r="N64" s="52">
        <f>SUM(N56:N63)</f>
        <v>981.8908357028572</v>
      </c>
      <c r="O64" s="51">
        <f>SUM(O56:O63)</f>
        <v>16283.077792594288</v>
      </c>
      <c r="P64" s="53">
        <f>SUM(P56:P63)</f>
        <v>587.09081236560019</v>
      </c>
      <c r="R64" s="51">
        <f>SUM(R56:R63)</f>
        <v>16283.077792594288</v>
      </c>
      <c r="S64" s="52">
        <f>SUM(S56:S63)</f>
        <v>981.8908357028572</v>
      </c>
      <c r="T64" s="51">
        <f>SUM(T56:T63)</f>
        <v>15301.18695689143</v>
      </c>
      <c r="U64" s="53">
        <f>SUM(U56:U63)</f>
        <v>552.72463311600018</v>
      </c>
      <c r="W64" s="51">
        <f>SUM(W56:W63)</f>
        <v>15301.18695689143</v>
      </c>
      <c r="X64" s="52">
        <f>SUM(X56:X63)</f>
        <v>981.8908357028572</v>
      </c>
      <c r="Y64" s="51">
        <f>SUM(Y56:Y63)</f>
        <v>14319.296121188574</v>
      </c>
      <c r="Z64" s="53">
        <f>SUM(Z56:Z63)</f>
        <v>518.35845386640017</v>
      </c>
      <c r="AB64" s="51">
        <f>SUM(AB56:AB63)</f>
        <v>14319.296121188574</v>
      </c>
      <c r="AC64" s="52">
        <f>SUM(AC56:AC63)</f>
        <v>981.8908357028572</v>
      </c>
      <c r="AD64" s="51">
        <f>SUM(AD56:AD63)</f>
        <v>13337.405285485716</v>
      </c>
      <c r="AE64" s="53">
        <f>SUM(AE56:AE63)</f>
        <v>483.99227461680016</v>
      </c>
    </row>
    <row r="65" spans="2:31" ht="12.75" hidden="1" customHeight="1"/>
    <row r="66" spans="2:31" ht="12.75" hidden="1" customHeight="1">
      <c r="B66" s="1" t="s">
        <v>18</v>
      </c>
      <c r="F66" s="25" t="s">
        <v>28</v>
      </c>
      <c r="H66" s="25" t="s">
        <v>21</v>
      </c>
      <c r="I66" s="25" t="s">
        <v>21</v>
      </c>
      <c r="J66" s="25" t="s">
        <v>21</v>
      </c>
      <c r="K66" s="25" t="s">
        <v>21</v>
      </c>
      <c r="M66" s="25" t="s">
        <v>22</v>
      </c>
      <c r="N66" s="25" t="s">
        <v>22</v>
      </c>
      <c r="O66" s="25" t="s">
        <v>22</v>
      </c>
      <c r="P66" s="25" t="s">
        <v>22</v>
      </c>
      <c r="R66" s="25" t="s">
        <v>23</v>
      </c>
      <c r="S66" s="25" t="s">
        <v>23</v>
      </c>
      <c r="T66" s="25" t="s">
        <v>23</v>
      </c>
      <c r="U66" s="25" t="s">
        <v>23</v>
      </c>
      <c r="W66" s="25" t="s">
        <v>24</v>
      </c>
      <c r="X66" s="25" t="s">
        <v>24</v>
      </c>
      <c r="Y66" s="25" t="s">
        <v>24</v>
      </c>
      <c r="Z66" s="25" t="s">
        <v>24</v>
      </c>
      <c r="AB66" s="25" t="s">
        <v>25</v>
      </c>
      <c r="AC66" s="25" t="s">
        <v>25</v>
      </c>
      <c r="AD66" s="25" t="s">
        <v>25</v>
      </c>
      <c r="AE66" s="25" t="s">
        <v>25</v>
      </c>
    </row>
    <row r="67" spans="2:31" ht="12.75" hidden="1" customHeight="1">
      <c r="B67" s="47" t="str">
        <f>'2. Standing data'!C17</f>
        <v xml:space="preserve">LNWH DC &amp; IP + NWL IP &amp; DC + NHS IP &amp; DC Cases Treated Privately </v>
      </c>
      <c r="F67" s="45"/>
      <c r="H67" s="45"/>
      <c r="I67" s="45"/>
      <c r="J67" s="45"/>
      <c r="K67" s="46"/>
      <c r="M67" s="45"/>
      <c r="N67" s="45"/>
      <c r="O67" s="45"/>
      <c r="P67" s="46"/>
      <c r="R67" s="45"/>
      <c r="S67" s="45"/>
      <c r="T67" s="45"/>
      <c r="U67" s="46"/>
      <c r="W67" s="45"/>
      <c r="X67" s="45"/>
      <c r="Y67" s="45"/>
      <c r="Z67" s="46"/>
      <c r="AB67" s="45"/>
      <c r="AC67" s="45"/>
      <c r="AD67" s="45"/>
      <c r="AE67" s="46"/>
    </row>
    <row r="68" spans="2:31" ht="12.75" hidden="1" customHeight="1">
      <c r="D68" s="23" t="s">
        <v>45</v>
      </c>
      <c r="F68" s="26" t="s">
        <v>26</v>
      </c>
      <c r="H68" s="26" t="s">
        <v>26</v>
      </c>
      <c r="I68" s="26" t="s">
        <v>26</v>
      </c>
      <c r="J68" s="26" t="s">
        <v>26</v>
      </c>
      <c r="K68" s="31" t="s">
        <v>26</v>
      </c>
      <c r="M68" s="26" t="s">
        <v>26</v>
      </c>
      <c r="N68" s="26" t="s">
        <v>26</v>
      </c>
      <c r="O68" s="26" t="s">
        <v>26</v>
      </c>
      <c r="P68" s="31" t="s">
        <v>26</v>
      </c>
      <c r="R68" s="26" t="s">
        <v>26</v>
      </c>
      <c r="S68" s="26" t="s">
        <v>26</v>
      </c>
      <c r="T68" s="26" t="s">
        <v>26</v>
      </c>
      <c r="U68" s="31" t="s">
        <v>26</v>
      </c>
      <c r="W68" s="26" t="s">
        <v>26</v>
      </c>
      <c r="X68" s="26" t="s">
        <v>26</v>
      </c>
      <c r="Y68" s="26" t="s">
        <v>26</v>
      </c>
      <c r="Z68" s="31" t="s">
        <v>26</v>
      </c>
      <c r="AB68" s="26" t="s">
        <v>26</v>
      </c>
      <c r="AC68" s="26" t="s">
        <v>26</v>
      </c>
      <c r="AD68" s="26" t="s">
        <v>26</v>
      </c>
      <c r="AE68" s="31" t="s">
        <v>26</v>
      </c>
    </row>
    <row r="69" spans="2:31" ht="12.75" hidden="1" customHeight="1">
      <c r="B69" s="24"/>
      <c r="C69" s="24"/>
      <c r="F69" s="29"/>
      <c r="H69" s="30" t="s">
        <v>47</v>
      </c>
      <c r="I69" s="30" t="s">
        <v>48</v>
      </c>
      <c r="J69" s="30" t="s">
        <v>50</v>
      </c>
      <c r="K69" s="32" t="s">
        <v>51</v>
      </c>
      <c r="M69" s="30" t="s">
        <v>47</v>
      </c>
      <c r="N69" s="30" t="s">
        <v>48</v>
      </c>
      <c r="O69" s="30" t="s">
        <v>50</v>
      </c>
      <c r="P69" s="32" t="s">
        <v>51</v>
      </c>
      <c r="R69" s="30" t="s">
        <v>47</v>
      </c>
      <c r="S69" s="30" t="s">
        <v>48</v>
      </c>
      <c r="T69" s="30" t="s">
        <v>50</v>
      </c>
      <c r="U69" s="32" t="s">
        <v>51</v>
      </c>
      <c r="W69" s="30" t="s">
        <v>47</v>
      </c>
      <c r="X69" s="30" t="s">
        <v>48</v>
      </c>
      <c r="Y69" s="30" t="s">
        <v>50</v>
      </c>
      <c r="Z69" s="32" t="s">
        <v>51</v>
      </c>
      <c r="AB69" s="30" t="s">
        <v>47</v>
      </c>
      <c r="AC69" s="30" t="s">
        <v>48</v>
      </c>
      <c r="AD69" s="30" t="s">
        <v>50</v>
      </c>
      <c r="AE69" s="32" t="s">
        <v>51</v>
      </c>
    </row>
    <row r="70" spans="2:31" ht="12.75" hidden="1" customHeight="1">
      <c r="B70" s="24" t="str">
        <f>'7c. Capital Charges'!A5</f>
        <v>Refurbishment (Aligned to PAC Development) (25 Years useful life)</v>
      </c>
      <c r="C70" s="1" t="s">
        <v>75</v>
      </c>
      <c r="D70" s="23">
        <v>25</v>
      </c>
      <c r="F70" s="3">
        <f>'7c. Capital Charges'!F5/1000</f>
        <v>19024.374330000002</v>
      </c>
      <c r="H70" s="4">
        <f t="shared" ref="H70:H77" si="80">F70</f>
        <v>19024.374330000002</v>
      </c>
      <c r="I70" s="4">
        <f t="shared" ref="I70:I77" si="81">$F70/$D70</f>
        <v>760.97497320000014</v>
      </c>
      <c r="J70" s="4">
        <f t="shared" ref="J70" si="82">F70-I70</f>
        <v>18263.399356800001</v>
      </c>
      <c r="K70" s="15">
        <f t="shared" ref="K70" si="83">((H70+J70)/2)*0.035</f>
        <v>652.53603951900016</v>
      </c>
      <c r="M70" s="4">
        <f t="shared" ref="M70" si="84">J70</f>
        <v>18263.399356800001</v>
      </c>
      <c r="N70" s="4">
        <f t="shared" ref="N70:N77" si="85">$F70/$D70</f>
        <v>760.97497320000014</v>
      </c>
      <c r="O70" s="4">
        <f t="shared" ref="O70" si="86">M70-N70</f>
        <v>17502.424383599999</v>
      </c>
      <c r="P70" s="15">
        <f t="shared" ref="P70" si="87">((M70+O70)/2)*0.035</f>
        <v>625.90191545699997</v>
      </c>
      <c r="R70" s="4">
        <f t="shared" ref="R70" si="88">O70</f>
        <v>17502.424383599999</v>
      </c>
      <c r="S70" s="4">
        <f t="shared" ref="S70:S77" si="89">$F70/$D70</f>
        <v>760.97497320000014</v>
      </c>
      <c r="T70" s="4">
        <f t="shared" ref="T70" si="90">R70-S70</f>
        <v>16741.449410399997</v>
      </c>
      <c r="U70" s="15">
        <f t="shared" ref="U70" si="91">((R70+T70)/2)*0.035</f>
        <v>599.26779139500002</v>
      </c>
      <c r="W70" s="4">
        <f t="shared" ref="W70" si="92">T70</f>
        <v>16741.449410399997</v>
      </c>
      <c r="X70" s="4">
        <f t="shared" ref="X70:X77" si="93">$F70/$D70</f>
        <v>760.97497320000014</v>
      </c>
      <c r="Y70" s="4">
        <f t="shared" ref="Y70" si="94">W70-X70</f>
        <v>15980.474437199997</v>
      </c>
      <c r="Z70" s="15">
        <f t="shared" ref="Z70" si="95">((W70+Y70)/2)*0.035</f>
        <v>572.63366733299995</v>
      </c>
      <c r="AB70" s="4">
        <f t="shared" ref="AB70" si="96">Y70</f>
        <v>15980.474437199997</v>
      </c>
      <c r="AC70" s="4">
        <f t="shared" ref="AC70:AC77" si="97">$F70/$D70</f>
        <v>760.97497320000014</v>
      </c>
      <c r="AD70" s="4">
        <f t="shared" ref="AD70" si="98">AB70-AC70</f>
        <v>15219.499463999997</v>
      </c>
      <c r="AE70" s="15">
        <f t="shared" ref="AE70" si="99">((AB70+AD70)/2)*0.035</f>
        <v>545.99954327099988</v>
      </c>
    </row>
    <row r="71" spans="2:31" ht="12.75" hidden="1" customHeight="1">
      <c r="B71" s="24" t="str">
        <f>'7c. Capital Charges'!A6</f>
        <v>Development Costs (25 Years useful life)</v>
      </c>
      <c r="C71" s="1" t="s">
        <v>75</v>
      </c>
      <c r="D71" s="23">
        <v>25</v>
      </c>
      <c r="F71" s="3">
        <f>'7c. Capital Charges'!F6/1000</f>
        <v>577.20000000000005</v>
      </c>
      <c r="H71" s="4">
        <f t="shared" si="80"/>
        <v>577.20000000000005</v>
      </c>
      <c r="I71" s="4">
        <f t="shared" si="81"/>
        <v>23.088000000000001</v>
      </c>
      <c r="J71" s="4">
        <f t="shared" ref="J71:J77" si="100">F71-I71</f>
        <v>554.11200000000008</v>
      </c>
      <c r="K71" s="15">
        <f t="shared" ref="K71:K77" si="101">((H71+J71)/2)*0.035</f>
        <v>19.797960000000003</v>
      </c>
      <c r="M71" s="4">
        <f t="shared" ref="M71:M77" si="102">J71</f>
        <v>554.11200000000008</v>
      </c>
      <c r="N71" s="4">
        <f t="shared" si="85"/>
        <v>23.088000000000001</v>
      </c>
      <c r="O71" s="4">
        <f t="shared" ref="O71:O77" si="103">M71-N71</f>
        <v>531.02400000000011</v>
      </c>
      <c r="P71" s="15">
        <f t="shared" ref="P71:P77" si="104">((M71+O71)/2)*0.035</f>
        <v>18.989880000000007</v>
      </c>
      <c r="R71" s="4">
        <f t="shared" ref="R71:R77" si="105">O71</f>
        <v>531.02400000000011</v>
      </c>
      <c r="S71" s="4">
        <f t="shared" si="89"/>
        <v>23.088000000000001</v>
      </c>
      <c r="T71" s="4">
        <f t="shared" ref="T71:T77" si="106">R71-S71</f>
        <v>507.93600000000009</v>
      </c>
      <c r="U71" s="15">
        <f t="shared" ref="U71:U77" si="107">((R71+T71)/2)*0.035</f>
        <v>18.181800000000006</v>
      </c>
      <c r="W71" s="4">
        <f t="shared" ref="W71:W77" si="108">T71</f>
        <v>507.93600000000009</v>
      </c>
      <c r="X71" s="4">
        <f t="shared" si="93"/>
        <v>23.088000000000001</v>
      </c>
      <c r="Y71" s="4">
        <f t="shared" ref="Y71:Y77" si="109">W71-X71</f>
        <v>484.84800000000007</v>
      </c>
      <c r="Z71" s="15">
        <f t="shared" ref="Z71:Z77" si="110">((W71+Y71)/2)*0.035</f>
        <v>17.373720000000002</v>
      </c>
      <c r="AB71" s="4">
        <f t="shared" ref="AB71:AB77" si="111">Y71</f>
        <v>484.84800000000007</v>
      </c>
      <c r="AC71" s="4">
        <f t="shared" si="97"/>
        <v>23.088000000000001</v>
      </c>
      <c r="AD71" s="4">
        <f t="shared" ref="AD71:AD77" si="112">AB71-AC71</f>
        <v>461.76000000000005</v>
      </c>
      <c r="AE71" s="15">
        <f t="shared" ref="AE71:AE77" si="113">((AB71+AD71)/2)*0.035</f>
        <v>16.565640000000005</v>
      </c>
    </row>
    <row r="72" spans="2:31" ht="12.75" hidden="1" customHeight="1">
      <c r="B72" s="24"/>
      <c r="C72" s="1" t="s">
        <v>75</v>
      </c>
      <c r="D72" s="23">
        <v>25</v>
      </c>
      <c r="F72" s="3"/>
      <c r="H72" s="4">
        <f t="shared" si="80"/>
        <v>0</v>
      </c>
      <c r="I72" s="4">
        <f t="shared" si="81"/>
        <v>0</v>
      </c>
      <c r="J72" s="4">
        <f t="shared" si="100"/>
        <v>0</v>
      </c>
      <c r="K72" s="15">
        <f t="shared" si="101"/>
        <v>0</v>
      </c>
      <c r="M72" s="4">
        <f t="shared" si="102"/>
        <v>0</v>
      </c>
      <c r="N72" s="4">
        <f t="shared" si="85"/>
        <v>0</v>
      </c>
      <c r="O72" s="4">
        <f t="shared" si="103"/>
        <v>0</v>
      </c>
      <c r="P72" s="15">
        <f t="shared" si="104"/>
        <v>0</v>
      </c>
      <c r="R72" s="4">
        <f t="shared" si="105"/>
        <v>0</v>
      </c>
      <c r="S72" s="4">
        <f t="shared" si="89"/>
        <v>0</v>
      </c>
      <c r="T72" s="4">
        <f t="shared" si="106"/>
        <v>0</v>
      </c>
      <c r="U72" s="15">
        <f t="shared" si="107"/>
        <v>0</v>
      </c>
      <c r="W72" s="4">
        <f t="shared" si="108"/>
        <v>0</v>
      </c>
      <c r="X72" s="4">
        <f t="shared" si="93"/>
        <v>0</v>
      </c>
      <c r="Y72" s="4">
        <f t="shared" si="109"/>
        <v>0</v>
      </c>
      <c r="Z72" s="15">
        <f t="shared" si="110"/>
        <v>0</v>
      </c>
      <c r="AB72" s="4">
        <f t="shared" si="111"/>
        <v>0</v>
      </c>
      <c r="AC72" s="4">
        <f t="shared" si="97"/>
        <v>0</v>
      </c>
      <c r="AD72" s="4">
        <f t="shared" si="112"/>
        <v>0</v>
      </c>
      <c r="AE72" s="15">
        <f t="shared" si="113"/>
        <v>0</v>
      </c>
    </row>
    <row r="73" spans="2:31" ht="12.75" hidden="1" customHeight="1">
      <c r="B73" s="24" t="str">
        <f>'7c. Capital Charges'!A4</f>
        <v>Equipment (Medium Term Assets) (7 Years useful Life)</v>
      </c>
      <c r="C73" s="1" t="s">
        <v>74</v>
      </c>
      <c r="D73" s="23">
        <v>7</v>
      </c>
      <c r="F73" s="3">
        <f>'7c. Capital Charges'!F4/1000</f>
        <v>3062.7</v>
      </c>
      <c r="H73" s="4">
        <f t="shared" si="80"/>
        <v>3062.7</v>
      </c>
      <c r="I73" s="4">
        <f t="shared" si="81"/>
        <v>437.52857142857141</v>
      </c>
      <c r="J73" s="4">
        <f t="shared" si="100"/>
        <v>2625.1714285714284</v>
      </c>
      <c r="K73" s="15">
        <f t="shared" si="101"/>
        <v>99.537750000000017</v>
      </c>
      <c r="M73" s="4">
        <f t="shared" si="102"/>
        <v>2625.1714285714284</v>
      </c>
      <c r="N73" s="4">
        <f t="shared" si="85"/>
        <v>437.52857142857141</v>
      </c>
      <c r="O73" s="4">
        <f t="shared" si="103"/>
        <v>2187.6428571428569</v>
      </c>
      <c r="P73" s="15">
        <f t="shared" si="104"/>
        <v>84.224249999999998</v>
      </c>
      <c r="R73" s="4">
        <f t="shared" si="105"/>
        <v>2187.6428571428569</v>
      </c>
      <c r="S73" s="4">
        <f t="shared" si="89"/>
        <v>437.52857142857141</v>
      </c>
      <c r="T73" s="4">
        <f t="shared" si="106"/>
        <v>1750.1142857142854</v>
      </c>
      <c r="U73" s="15">
        <f t="shared" si="107"/>
        <v>68.910749999999993</v>
      </c>
      <c r="W73" s="4">
        <f t="shared" si="108"/>
        <v>1750.1142857142854</v>
      </c>
      <c r="X73" s="4">
        <f t="shared" si="93"/>
        <v>437.52857142857141</v>
      </c>
      <c r="Y73" s="4">
        <f t="shared" si="109"/>
        <v>1312.5857142857139</v>
      </c>
      <c r="Z73" s="15">
        <f t="shared" si="110"/>
        <v>53.597249999999995</v>
      </c>
      <c r="AB73" s="4">
        <f t="shared" si="111"/>
        <v>1312.5857142857139</v>
      </c>
      <c r="AC73" s="4">
        <f t="shared" si="97"/>
        <v>437.52857142857141</v>
      </c>
      <c r="AD73" s="4">
        <f t="shared" si="112"/>
        <v>875.05714285714248</v>
      </c>
      <c r="AE73" s="15">
        <f t="shared" si="113"/>
        <v>38.283749999999991</v>
      </c>
    </row>
    <row r="74" spans="2:31" ht="12.75" hidden="1" customHeight="1">
      <c r="B74" s="24"/>
      <c r="C74" s="1" t="s">
        <v>74</v>
      </c>
      <c r="D74" s="23">
        <v>7</v>
      </c>
      <c r="F74" s="3"/>
      <c r="H74" s="4">
        <f t="shared" si="80"/>
        <v>0</v>
      </c>
      <c r="I74" s="4">
        <f t="shared" si="81"/>
        <v>0</v>
      </c>
      <c r="J74" s="4">
        <f t="shared" si="100"/>
        <v>0</v>
      </c>
      <c r="K74" s="15">
        <f t="shared" si="101"/>
        <v>0</v>
      </c>
      <c r="M74" s="4">
        <f t="shared" si="102"/>
        <v>0</v>
      </c>
      <c r="N74" s="4">
        <f t="shared" si="85"/>
        <v>0</v>
      </c>
      <c r="O74" s="4">
        <f t="shared" si="103"/>
        <v>0</v>
      </c>
      <c r="P74" s="15">
        <f t="shared" si="104"/>
        <v>0</v>
      </c>
      <c r="R74" s="4">
        <f t="shared" si="105"/>
        <v>0</v>
      </c>
      <c r="S74" s="4">
        <f t="shared" si="89"/>
        <v>0</v>
      </c>
      <c r="T74" s="4">
        <f t="shared" si="106"/>
        <v>0</v>
      </c>
      <c r="U74" s="15">
        <f t="shared" si="107"/>
        <v>0</v>
      </c>
      <c r="W74" s="4">
        <f t="shared" si="108"/>
        <v>0</v>
      </c>
      <c r="X74" s="4">
        <f t="shared" si="93"/>
        <v>0</v>
      </c>
      <c r="Y74" s="4">
        <f t="shared" si="109"/>
        <v>0</v>
      </c>
      <c r="Z74" s="15">
        <f t="shared" si="110"/>
        <v>0</v>
      </c>
      <c r="AB74" s="4">
        <f t="shared" si="111"/>
        <v>0</v>
      </c>
      <c r="AC74" s="4">
        <f t="shared" si="97"/>
        <v>0</v>
      </c>
      <c r="AD74" s="4">
        <f t="shared" si="112"/>
        <v>0</v>
      </c>
      <c r="AE74" s="15">
        <f t="shared" si="113"/>
        <v>0</v>
      </c>
    </row>
    <row r="75" spans="2:31" ht="12.75" hidden="1" customHeight="1">
      <c r="C75" s="1" t="s">
        <v>74</v>
      </c>
      <c r="D75" s="23">
        <v>7</v>
      </c>
      <c r="F75" s="3"/>
      <c r="H75" s="4">
        <f t="shared" si="80"/>
        <v>0</v>
      </c>
      <c r="I75" s="4">
        <f t="shared" si="81"/>
        <v>0</v>
      </c>
      <c r="J75" s="4">
        <f t="shared" si="100"/>
        <v>0</v>
      </c>
      <c r="K75" s="15">
        <f t="shared" si="101"/>
        <v>0</v>
      </c>
      <c r="M75" s="4">
        <f t="shared" si="102"/>
        <v>0</v>
      </c>
      <c r="N75" s="4">
        <f t="shared" si="85"/>
        <v>0</v>
      </c>
      <c r="O75" s="4">
        <f t="shared" si="103"/>
        <v>0</v>
      </c>
      <c r="P75" s="15">
        <f t="shared" si="104"/>
        <v>0</v>
      </c>
      <c r="R75" s="4">
        <f t="shared" si="105"/>
        <v>0</v>
      </c>
      <c r="S75" s="4">
        <f t="shared" si="89"/>
        <v>0</v>
      </c>
      <c r="T75" s="4">
        <f t="shared" si="106"/>
        <v>0</v>
      </c>
      <c r="U75" s="15">
        <f t="shared" si="107"/>
        <v>0</v>
      </c>
      <c r="W75" s="4">
        <f t="shared" si="108"/>
        <v>0</v>
      </c>
      <c r="X75" s="4">
        <f t="shared" si="93"/>
        <v>0</v>
      </c>
      <c r="Y75" s="4">
        <f t="shared" si="109"/>
        <v>0</v>
      </c>
      <c r="Z75" s="15">
        <f t="shared" si="110"/>
        <v>0</v>
      </c>
      <c r="AB75" s="4">
        <f t="shared" si="111"/>
        <v>0</v>
      </c>
      <c r="AC75" s="4">
        <f t="shared" si="97"/>
        <v>0</v>
      </c>
      <c r="AD75" s="4">
        <f t="shared" si="112"/>
        <v>0</v>
      </c>
      <c r="AE75" s="15">
        <f t="shared" si="113"/>
        <v>0</v>
      </c>
    </row>
    <row r="76" spans="2:31" ht="12.75" hidden="1" customHeight="1">
      <c r="C76" s="1" t="s">
        <v>31</v>
      </c>
      <c r="D76" s="23">
        <v>5</v>
      </c>
      <c r="F76" s="3"/>
      <c r="H76" s="4">
        <f t="shared" si="80"/>
        <v>0</v>
      </c>
      <c r="I76" s="4">
        <f t="shared" si="81"/>
        <v>0</v>
      </c>
      <c r="J76" s="4">
        <f t="shared" si="100"/>
        <v>0</v>
      </c>
      <c r="K76" s="15">
        <f t="shared" si="101"/>
        <v>0</v>
      </c>
      <c r="M76" s="4">
        <f t="shared" si="102"/>
        <v>0</v>
      </c>
      <c r="N76" s="4">
        <f t="shared" si="85"/>
        <v>0</v>
      </c>
      <c r="O76" s="4">
        <f t="shared" si="103"/>
        <v>0</v>
      </c>
      <c r="P76" s="15">
        <f t="shared" si="104"/>
        <v>0</v>
      </c>
      <c r="R76" s="4">
        <f t="shared" si="105"/>
        <v>0</v>
      </c>
      <c r="S76" s="4">
        <f t="shared" si="89"/>
        <v>0</v>
      </c>
      <c r="T76" s="4">
        <f t="shared" si="106"/>
        <v>0</v>
      </c>
      <c r="U76" s="15">
        <f t="shared" si="107"/>
        <v>0</v>
      </c>
      <c r="W76" s="4">
        <f t="shared" si="108"/>
        <v>0</v>
      </c>
      <c r="X76" s="4">
        <f t="shared" si="93"/>
        <v>0</v>
      </c>
      <c r="Y76" s="4">
        <f t="shared" si="109"/>
        <v>0</v>
      </c>
      <c r="Z76" s="15">
        <f t="shared" si="110"/>
        <v>0</v>
      </c>
      <c r="AB76" s="4">
        <f t="shared" si="111"/>
        <v>0</v>
      </c>
      <c r="AC76" s="4">
        <f t="shared" si="97"/>
        <v>0</v>
      </c>
      <c r="AD76" s="4">
        <f t="shared" si="112"/>
        <v>0</v>
      </c>
      <c r="AE76" s="15">
        <f t="shared" si="113"/>
        <v>0</v>
      </c>
    </row>
    <row r="77" spans="2:31" ht="12.75" hidden="1" customHeight="1">
      <c r="C77" s="1" t="s">
        <v>31</v>
      </c>
      <c r="D77" s="23">
        <v>3</v>
      </c>
      <c r="F77" s="3"/>
      <c r="H77" s="4">
        <f t="shared" si="80"/>
        <v>0</v>
      </c>
      <c r="I77" s="4">
        <f t="shared" si="81"/>
        <v>0</v>
      </c>
      <c r="J77" s="4">
        <f t="shared" si="100"/>
        <v>0</v>
      </c>
      <c r="K77" s="15">
        <f t="shared" si="101"/>
        <v>0</v>
      </c>
      <c r="M77" s="4">
        <f t="shared" si="102"/>
        <v>0</v>
      </c>
      <c r="N77" s="4">
        <f t="shared" si="85"/>
        <v>0</v>
      </c>
      <c r="O77" s="4">
        <f t="shared" si="103"/>
        <v>0</v>
      </c>
      <c r="P77" s="15">
        <f t="shared" si="104"/>
        <v>0</v>
      </c>
      <c r="R77" s="4">
        <f t="shared" si="105"/>
        <v>0</v>
      </c>
      <c r="S77" s="4">
        <f t="shared" si="89"/>
        <v>0</v>
      </c>
      <c r="T77" s="4">
        <f t="shared" si="106"/>
        <v>0</v>
      </c>
      <c r="U77" s="15">
        <f t="shared" si="107"/>
        <v>0</v>
      </c>
      <c r="W77" s="4">
        <f t="shared" si="108"/>
        <v>0</v>
      </c>
      <c r="X77" s="4">
        <f t="shared" si="93"/>
        <v>0</v>
      </c>
      <c r="Y77" s="4">
        <f t="shared" si="109"/>
        <v>0</v>
      </c>
      <c r="Z77" s="15">
        <f t="shared" si="110"/>
        <v>0</v>
      </c>
      <c r="AB77" s="4">
        <f t="shared" si="111"/>
        <v>0</v>
      </c>
      <c r="AC77" s="4">
        <f t="shared" si="97"/>
        <v>0</v>
      </c>
      <c r="AD77" s="4">
        <f t="shared" si="112"/>
        <v>0</v>
      </c>
      <c r="AE77" s="15">
        <f t="shared" si="113"/>
        <v>0</v>
      </c>
    </row>
    <row r="78" spans="2:31" s="49" customFormat="1" ht="12.75" hidden="1" customHeight="1">
      <c r="B78" s="49" t="s">
        <v>32</v>
      </c>
      <c r="D78" s="50"/>
      <c r="E78" s="50"/>
      <c r="F78" s="51">
        <f>SUM(F70:F77)</f>
        <v>22664.274330000004</v>
      </c>
      <c r="H78" s="51">
        <f>SUM(H70:H77)</f>
        <v>22664.274330000004</v>
      </c>
      <c r="I78" s="52">
        <f>SUM(I70:I77)</f>
        <v>1221.5915446285715</v>
      </c>
      <c r="J78" s="51">
        <f>SUM(J70:J77)</f>
        <v>21442.682785371431</v>
      </c>
      <c r="K78" s="53">
        <f>SUM(K70:K77)</f>
        <v>771.8717495190001</v>
      </c>
      <c r="M78" s="51">
        <f>SUM(M70:M77)</f>
        <v>21442.682785371431</v>
      </c>
      <c r="N78" s="52">
        <f>SUM(N70:N77)</f>
        <v>1221.5915446285715</v>
      </c>
      <c r="O78" s="51">
        <f>SUM(O70:O77)</f>
        <v>20221.091240742855</v>
      </c>
      <c r="P78" s="53">
        <f>SUM(P70:P77)</f>
        <v>729.11604545699993</v>
      </c>
      <c r="R78" s="51">
        <f>SUM(R70:R77)</f>
        <v>20221.091240742855</v>
      </c>
      <c r="S78" s="52">
        <f>SUM(S70:S77)</f>
        <v>1221.5915446285715</v>
      </c>
      <c r="T78" s="51">
        <f>SUM(T70:T77)</f>
        <v>18999.499696114282</v>
      </c>
      <c r="U78" s="53">
        <f>SUM(U70:U77)</f>
        <v>686.36034139499998</v>
      </c>
      <c r="W78" s="51">
        <f>SUM(W70:W77)</f>
        <v>18999.499696114282</v>
      </c>
      <c r="X78" s="52">
        <f>SUM(X70:X77)</f>
        <v>1221.5915446285715</v>
      </c>
      <c r="Y78" s="51">
        <f>SUM(Y70:Y77)</f>
        <v>17777.90815148571</v>
      </c>
      <c r="Z78" s="53">
        <f>SUM(Z70:Z77)</f>
        <v>643.60463733300003</v>
      </c>
      <c r="AB78" s="51">
        <f>SUM(AB70:AB77)</f>
        <v>17777.90815148571</v>
      </c>
      <c r="AC78" s="52">
        <f>SUM(AC70:AC77)</f>
        <v>1221.5915446285715</v>
      </c>
      <c r="AD78" s="51">
        <f>SUM(AD70:AD77)</f>
        <v>16556.316606857141</v>
      </c>
      <c r="AE78" s="53">
        <f>SUM(AE70:AE77)</f>
        <v>600.84893327099985</v>
      </c>
    </row>
    <row r="79" spans="2:31" ht="12.75" customHeight="1"/>
    <row r="80" spans="2:31" ht="12.75" customHeight="1"/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workbookViewId="0">
      <selection activeCell="D5" sqref="D5"/>
    </sheetView>
  </sheetViews>
  <sheetFormatPr baseColWidth="10" defaultColWidth="9.1640625" defaultRowHeight="14"/>
  <cols>
    <col min="1" max="1" width="52.1640625" style="148" customWidth="1"/>
    <col min="2" max="6" width="15.6640625" style="148" customWidth="1"/>
    <col min="7" max="7" width="63.1640625" style="164" customWidth="1"/>
    <col min="8" max="16384" width="9.1640625" style="148"/>
  </cols>
  <sheetData>
    <row r="1" spans="1:7" s="150" customFormat="1">
      <c r="B1" s="151" t="s">
        <v>55</v>
      </c>
      <c r="C1" s="151" t="s">
        <v>27</v>
      </c>
      <c r="D1" s="151" t="s">
        <v>28</v>
      </c>
      <c r="E1" s="151" t="s">
        <v>151</v>
      </c>
      <c r="F1" s="151" t="s">
        <v>152</v>
      </c>
      <c r="G1" s="163"/>
    </row>
    <row r="2" spans="1:7" ht="60">
      <c r="B2" s="155" t="s">
        <v>153</v>
      </c>
      <c r="C2" s="155" t="s">
        <v>142</v>
      </c>
      <c r="D2" s="155" t="s">
        <v>144</v>
      </c>
      <c r="E2" s="155" t="s">
        <v>145</v>
      </c>
      <c r="F2" s="155" t="s">
        <v>147</v>
      </c>
    </row>
    <row r="3" spans="1:7" s="153" customFormat="1">
      <c r="A3" s="153" t="s">
        <v>174</v>
      </c>
      <c r="B3" s="151">
        <v>0</v>
      </c>
      <c r="C3" s="151">
        <v>1</v>
      </c>
      <c r="D3" s="151">
        <v>2</v>
      </c>
      <c r="E3" s="151">
        <v>4</v>
      </c>
      <c r="F3" s="151">
        <v>5</v>
      </c>
      <c r="G3" s="165"/>
    </row>
    <row r="4" spans="1:7" ht="30">
      <c r="A4" s="148" t="s">
        <v>175</v>
      </c>
      <c r="B4" s="166">
        <f>$D$4/$D$3*B3</f>
        <v>0</v>
      </c>
      <c r="C4" s="166">
        <f>$D$4/$D$3*C3</f>
        <v>612540</v>
      </c>
      <c r="D4" s="167">
        <v>1225080</v>
      </c>
      <c r="E4" s="166">
        <f>$D$4/$D$3*E3</f>
        <v>2450160</v>
      </c>
      <c r="F4" s="166">
        <f>$D$4/$D$3*F3</f>
        <v>3062700</v>
      </c>
      <c r="G4" s="164" t="s">
        <v>176</v>
      </c>
    </row>
    <row r="5" spans="1:7" ht="30">
      <c r="A5" s="148" t="s">
        <v>177</v>
      </c>
      <c r="B5" s="168">
        <f>$D$5/$D$3*B3</f>
        <v>0</v>
      </c>
      <c r="C5" s="168">
        <f>$D$5/$D$3*C3</f>
        <v>3804874.8660000004</v>
      </c>
      <c r="D5" s="169">
        <f>8834829.732-D4</f>
        <v>7609749.7320000008</v>
      </c>
      <c r="E5" s="168">
        <f>$D$5/$D$3*E3</f>
        <v>15219499.464000002</v>
      </c>
      <c r="F5" s="168">
        <f>$D$5/$D$3*F3</f>
        <v>19024374.330000002</v>
      </c>
      <c r="G5" s="164" t="s">
        <v>176</v>
      </c>
    </row>
    <row r="6" spans="1:7" ht="30">
      <c r="A6" s="148" t="s">
        <v>178</v>
      </c>
      <c r="B6" s="168">
        <v>0</v>
      </c>
      <c r="C6" s="168">
        <f>97200+27000+166000+100000+100000+87000</f>
        <v>577200</v>
      </c>
      <c r="D6" s="168">
        <f>97200+27000+166000+100000+100000+87000</f>
        <v>577200</v>
      </c>
      <c r="E6" s="168">
        <f>97200+27000+166000+100000+100000+87000</f>
        <v>577200</v>
      </c>
      <c r="F6" s="168">
        <f>97200+27000+166000+100000+100000+87000</f>
        <v>577200</v>
      </c>
      <c r="G6" s="164" t="s">
        <v>179</v>
      </c>
    </row>
    <row r="7" spans="1:7">
      <c r="A7" s="148" t="s">
        <v>180</v>
      </c>
      <c r="B7" s="168">
        <f>B4/7</f>
        <v>0</v>
      </c>
      <c r="C7" s="168">
        <f>C4/7</f>
        <v>87505.71428571429</v>
      </c>
      <c r="D7" s="168">
        <f>D4/7</f>
        <v>175011.42857142858</v>
      </c>
      <c r="E7" s="168">
        <f>E4/7</f>
        <v>350022.85714285716</v>
      </c>
      <c r="F7" s="168">
        <f>F4/7</f>
        <v>437528.57142857142</v>
      </c>
    </row>
    <row r="8" spans="1:7">
      <c r="A8" s="148" t="s">
        <v>181</v>
      </c>
      <c r="B8" s="168">
        <f>B5/25</f>
        <v>0</v>
      </c>
      <c r="C8" s="168">
        <f>C5/25</f>
        <v>152194.99464000002</v>
      </c>
      <c r="D8" s="168">
        <f>D5/25</f>
        <v>304389.98928000004</v>
      </c>
      <c r="E8" s="168">
        <f>E5/25</f>
        <v>608779.97856000008</v>
      </c>
      <c r="F8" s="168">
        <f>F5/25</f>
        <v>760974.97320000012</v>
      </c>
    </row>
    <row r="9" spans="1:7">
      <c r="A9" s="148" t="s">
        <v>182</v>
      </c>
      <c r="B9" s="168">
        <v>0</v>
      </c>
      <c r="C9" s="168">
        <f>C6/25</f>
        <v>23088</v>
      </c>
      <c r="D9" s="168">
        <f>D6/25</f>
        <v>23088</v>
      </c>
      <c r="E9" s="168">
        <f>E6/25</f>
        <v>23088</v>
      </c>
      <c r="F9" s="168">
        <f>F6/25</f>
        <v>23088</v>
      </c>
    </row>
    <row r="10" spans="1:7">
      <c r="A10" s="148" t="s">
        <v>183</v>
      </c>
      <c r="B10" s="168">
        <f>((B$4-B$7)+(B$4))*0.035/2</f>
        <v>0</v>
      </c>
      <c r="C10" s="168">
        <f>((C$4-C$7)+(C$4))*0.035/2</f>
        <v>19907.550000000003</v>
      </c>
      <c r="D10" s="168">
        <f>((D$4-D$7)+(D$4))*0.035/2</f>
        <v>39815.100000000006</v>
      </c>
      <c r="E10" s="168">
        <f>((E$4-E$7)+(E$4))*0.035/2</f>
        <v>79630.200000000012</v>
      </c>
      <c r="F10" s="168">
        <f>((F$4-F$7)+(F$4))*0.035/2</f>
        <v>99537.750000000015</v>
      </c>
    </row>
    <row r="11" spans="1:7">
      <c r="A11" s="148" t="s">
        <v>184</v>
      </c>
      <c r="B11" s="168">
        <f>((B$4-B$7)+(B$4-(B$7*2)))*0.035/2</f>
        <v>0</v>
      </c>
      <c r="C11" s="168">
        <f>((C$4-C$7)+(C$4-(C$7*2)))*0.035/2</f>
        <v>16844.849999999999</v>
      </c>
      <c r="D11" s="168">
        <f>((D$4-D$7)+(D$4-(D$7*2)))*0.035/2</f>
        <v>33689.699999999997</v>
      </c>
      <c r="E11" s="168">
        <f>((E$4-E$7)+(E$4-(E$7*2)))*0.035/2</f>
        <v>67379.399999999994</v>
      </c>
      <c r="F11" s="168">
        <f>((F$4-F$7)+(F$4-(F$7*2)))*0.035/2</f>
        <v>84224.25</v>
      </c>
    </row>
    <row r="12" spans="1:7">
      <c r="A12" s="148" t="s">
        <v>185</v>
      </c>
      <c r="B12" s="168">
        <f>((B$4-(B$7*2))+(B$4-(B$7*3)))*0.035/2</f>
        <v>0</v>
      </c>
      <c r="C12" s="168">
        <f>((C$4-(C$7*2))+(C$4-(C$7*3)))*0.035/2</f>
        <v>13782.150000000003</v>
      </c>
      <c r="D12" s="168">
        <f>((D$4-(D$7*2))+(D$4-(D$7*3)))*0.035/2</f>
        <v>27564.300000000007</v>
      </c>
      <c r="E12" s="168">
        <f>((E$4-(E$7*2))+(E$4-(E$7*3)))*0.035/2</f>
        <v>55128.600000000013</v>
      </c>
      <c r="F12" s="168">
        <f>((F$4-(F$7*2))+(F$4-(F$7*3)))*0.035/2</f>
        <v>68910.75</v>
      </c>
      <c r="G12" s="182"/>
    </row>
    <row r="13" spans="1:7">
      <c r="A13" s="148" t="s">
        <v>186</v>
      </c>
      <c r="B13" s="168">
        <f>((B$4-(B$7*3))+(B$4-(B$7*4)))*0.035/2</f>
        <v>0</v>
      </c>
      <c r="C13" s="168">
        <f>((C$4-(C$7*3))+(C$4-(C$7*4)))*0.035/2</f>
        <v>10719.45</v>
      </c>
      <c r="D13" s="168">
        <f>((D$4-(D$7*3))+(D$4-(D$7*4)))*0.035/2</f>
        <v>21438.9</v>
      </c>
      <c r="E13" s="168">
        <f>((E$4-(E$7*3))+(E$4-(E$7*4)))*0.035/2</f>
        <v>42877.8</v>
      </c>
      <c r="F13" s="168">
        <f>((F$4-(F$7*3))+(F$4-(F$7*4)))*0.035/2</f>
        <v>53597.250000000007</v>
      </c>
      <c r="G13" s="182"/>
    </row>
    <row r="14" spans="1:7">
      <c r="A14" s="148" t="s">
        <v>187</v>
      </c>
      <c r="B14" s="168">
        <f>((B$4-(B$7*4))+(B$4-(B$7*5)))*0.035/2</f>
        <v>0</v>
      </c>
      <c r="C14" s="168">
        <f>((C$4-(C$7*4))+(C$4-(C$7*5)))*0.035/2</f>
        <v>7656.75</v>
      </c>
      <c r="D14" s="168">
        <f>((D$4-(D$7*4))+(D$4-(D$7*5)))*0.035/2</f>
        <v>15313.5</v>
      </c>
      <c r="E14" s="168">
        <f>((E$4-(E$7*4))+(E$4-(E$7*5)))*0.035/2</f>
        <v>30627</v>
      </c>
      <c r="F14" s="168">
        <f>((F$4-(F$7*4))+(F$4-(F$7*5)))*0.035/2</f>
        <v>38283.750000000007</v>
      </c>
    </row>
    <row r="15" spans="1:7">
      <c r="A15" s="148" t="s">
        <v>188</v>
      </c>
      <c r="B15" s="168">
        <f>((B$4-(B$7*5))+(B$4-(B$7*6)))*0.035/2</f>
        <v>0</v>
      </c>
      <c r="C15" s="168">
        <f>((C$4-(C$7*5))+(C$4-(C$7*6)))*0.035/2</f>
        <v>4594.05</v>
      </c>
      <c r="D15" s="168">
        <f>((D$4-(D$7*5))+(D$4-(D$7*6)))*0.035/2</f>
        <v>9188.1</v>
      </c>
      <c r="E15" s="168">
        <f>((E$4-(E$7*5))+(E$4-(E$7*6)))*0.035/2</f>
        <v>18376.2</v>
      </c>
      <c r="F15" s="168">
        <f>((F$4-(F$7*5))+(F$4-(F$7*6)))*0.035/2</f>
        <v>22970.25</v>
      </c>
    </row>
    <row r="16" spans="1:7">
      <c r="A16" s="148" t="s">
        <v>189</v>
      </c>
      <c r="B16" s="168">
        <f>((B$4-(B$7*6))+(B$4-(B$7*7)))*0.035/2</f>
        <v>0</v>
      </c>
      <c r="C16" s="168">
        <f>((C$4-(C$7*6))+(C$4-(C$7*7)))*0.035/2</f>
        <v>1531.3500000000008</v>
      </c>
      <c r="D16" s="168">
        <f>((D$4-(D$7*6))+(D$4-(D$7*7)))*0.035/2</f>
        <v>3062.7000000000016</v>
      </c>
      <c r="E16" s="168">
        <f>((E$4-(E$7*6))+(E$4-(E$7*7)))*0.035/2</f>
        <v>6125.4000000000033</v>
      </c>
      <c r="F16" s="168">
        <f>((F$4-(F$7*6))+(F$4-(F$7*7)))*0.035/2</f>
        <v>7656.75</v>
      </c>
    </row>
    <row r="17" spans="1:6">
      <c r="A17" s="148" t="s">
        <v>190</v>
      </c>
      <c r="B17" s="168">
        <f>((B$5-B$8)+(B$5))*0.035/2</f>
        <v>0</v>
      </c>
      <c r="C17" s="168">
        <f>((C$5-C$8)+(C$5))*0.035/2</f>
        <v>130507.20790380002</v>
      </c>
      <c r="D17" s="168">
        <f>((D$5-D$8)+(D$5))*0.035/2</f>
        <v>261014.41580760005</v>
      </c>
      <c r="E17" s="168">
        <f>((E$5-E$8)+(E$5))*0.035/2</f>
        <v>522028.83161520009</v>
      </c>
      <c r="F17" s="168">
        <f>((F$5-F$8)+(F$5))*0.035/2</f>
        <v>652536.0395190001</v>
      </c>
    </row>
    <row r="18" spans="1:6">
      <c r="A18" s="148" t="s">
        <v>191</v>
      </c>
      <c r="B18" s="168">
        <f>((B$5-B$8)+(B$5-(B$8*2)))*0.035/2</f>
        <v>0</v>
      </c>
      <c r="C18" s="168">
        <f>((C$5-C$8)+(C$5-(C$8*2)))*0.035/2</f>
        <v>125180.38309140001</v>
      </c>
      <c r="D18" s="168">
        <f>((D$5-D$8)+(D$5-(D$8*2)))*0.035/2</f>
        <v>250360.76618280003</v>
      </c>
      <c r="E18" s="168">
        <f>((E$5-E$8)+(E$5-(E$8*2)))*0.035/2</f>
        <v>500721.53236560005</v>
      </c>
      <c r="F18" s="168">
        <f>((F$5-F$8)+(F$5-(F$8*2)))*0.035/2</f>
        <v>625901.91545700014</v>
      </c>
    </row>
    <row r="19" spans="1:6">
      <c r="A19" s="148" t="s">
        <v>192</v>
      </c>
      <c r="B19" s="168">
        <f>((B$5-(B$8*2))+(B$5-(B$8*3)))*0.035/2</f>
        <v>0</v>
      </c>
      <c r="C19" s="168">
        <f>((C$5-(C$8*2))+(C$5-(C$8*3)))*0.035/2</f>
        <v>119853.55827900003</v>
      </c>
      <c r="D19" s="168">
        <f>((D$5-(D$8*2))+(D$5-(D$8*3)))*0.035/2</f>
        <v>239707.11655800007</v>
      </c>
      <c r="E19" s="168">
        <f>((E$5-(E$8*2))+(E$5-(E$8*3)))*0.035/2</f>
        <v>479414.23311600013</v>
      </c>
      <c r="F19" s="168">
        <f>((F$5-(F$8*2))+(F$5-(F$8*3)))*0.035/2</f>
        <v>599267.79139500007</v>
      </c>
    </row>
    <row r="20" spans="1:6">
      <c r="A20" s="148" t="s">
        <v>193</v>
      </c>
      <c r="B20" s="168">
        <f>((B$5-(B$8*3))+(B$5-(B$8*4)))*0.035/2</f>
        <v>0</v>
      </c>
      <c r="C20" s="168">
        <f>((C$5-(C$8*3))+(C$5-(C$8*4)))*0.035/2</f>
        <v>114526.73346660002</v>
      </c>
      <c r="D20" s="168">
        <f>((D$5-(D$8*3))+(D$5-(D$8*4)))*0.035/2</f>
        <v>229053.46693320005</v>
      </c>
      <c r="E20" s="168">
        <f>((E$5-(E$8*3))+(E$5-(E$8*4)))*0.035/2</f>
        <v>458106.9338664001</v>
      </c>
      <c r="F20" s="168">
        <f>((F$5-(F$8*3))+(F$5-(F$8*4)))*0.035/2</f>
        <v>572633.66733300011</v>
      </c>
    </row>
    <row r="21" spans="1:6">
      <c r="A21" s="148" t="s">
        <v>194</v>
      </c>
      <c r="B21" s="168">
        <f>((B$5-(B$8*4))+(B$5-(B$8*5)))*0.035/2</f>
        <v>0</v>
      </c>
      <c r="C21" s="168">
        <f>((C$5-(C$8*4))+(C$5-(C$8*5)))*0.035/2</f>
        <v>109199.90865420003</v>
      </c>
      <c r="D21" s="168">
        <f>((D$5-(D$8*4))+(D$5-(D$8*5)))*0.035/2</f>
        <v>218399.81730840006</v>
      </c>
      <c r="E21" s="168">
        <f>((E$5-(E$8*4))+(E$5-(E$8*5)))*0.035/2</f>
        <v>436799.63461680012</v>
      </c>
      <c r="F21" s="168">
        <f>((F$5-(F$8*4))+(F$5-(F$8*5)))*0.035/2</f>
        <v>545999.54327100015</v>
      </c>
    </row>
    <row r="22" spans="1:6">
      <c r="A22" s="148" t="s">
        <v>195</v>
      </c>
      <c r="B22" s="168">
        <f>((B$5-(B$8*5))+(B$5-(B$8*6)))*0.035/2</f>
        <v>0</v>
      </c>
      <c r="C22" s="168">
        <f>((C$5-(C$8*5))+(C$5-(C$8*6)))*0.035/2</f>
        <v>103873.08384180002</v>
      </c>
      <c r="D22" s="168">
        <f>((D$5-(D$8*5))+(D$5-(D$8*6)))*0.035/2</f>
        <v>207746.16768360004</v>
      </c>
      <c r="E22" s="168">
        <f>((E$5-(E$8*5))+(E$5-(E$8*6)))*0.035/2</f>
        <v>415492.33536720008</v>
      </c>
      <c r="F22" s="168">
        <f>((F$5-(F$8*5))+(F$5-(F$8*6)))*0.035/2</f>
        <v>519365.41920900007</v>
      </c>
    </row>
    <row r="23" spans="1:6">
      <c r="A23" s="148" t="s">
        <v>196</v>
      </c>
      <c r="B23" s="168">
        <f>((B$5-(B$8*6))+(B$5-(B$8*7)))*0.035/2</f>
        <v>0</v>
      </c>
      <c r="C23" s="168">
        <f>((C$5-(C$8*6))+(C$5-(C$8*7)))*0.035/2</f>
        <v>98546.259029400011</v>
      </c>
      <c r="D23" s="168">
        <f>((D$5-(D$8*6))+(D$5-(D$8*7)))*0.035/2</f>
        <v>197092.51805880002</v>
      </c>
      <c r="E23" s="168">
        <f>((E$5-(E$8*6))+(E$5-(E$8*7)))*0.035/2</f>
        <v>394185.03611760004</v>
      </c>
      <c r="F23" s="168">
        <f>((F$5-(F$8*6))+(F$5-(F$8*7)))*0.035/2</f>
        <v>492731.29514700006</v>
      </c>
    </row>
    <row r="24" spans="1:6">
      <c r="A24" s="148" t="s">
        <v>197</v>
      </c>
      <c r="B24" s="168">
        <f>((B$5-(B$8*7))+(B$5-(B$8*8)))*0.035/2</f>
        <v>0</v>
      </c>
      <c r="C24" s="168">
        <f>((C$5-(C$8*7))+(C$5-(C$8*8)))*0.035/2</f>
        <v>93219.434217000016</v>
      </c>
      <c r="D24" s="168">
        <f>((D$5-(D$8*7))+(D$5-(D$8*8)))*0.035/2</f>
        <v>186438.86843400003</v>
      </c>
      <c r="E24" s="168">
        <f>((E$5-(E$8*7))+(E$5-(E$8*8)))*0.035/2</f>
        <v>372877.73686800007</v>
      </c>
      <c r="F24" s="168">
        <f>((F$5-(F$8*7))+(F$5-(F$8*8)))*0.035/2</f>
        <v>466097.17108500004</v>
      </c>
    </row>
    <row r="25" spans="1:6">
      <c r="A25" s="148" t="s">
        <v>198</v>
      </c>
      <c r="B25" s="168">
        <f>((B$5-(B$8*8))+(B$5-(B$8*9)))*0.035/2</f>
        <v>0</v>
      </c>
      <c r="C25" s="168">
        <f>((C$5-(C$8*8))+(C$5-(C$8*9)))*0.035/2</f>
        <v>87892.609404600007</v>
      </c>
      <c r="D25" s="168">
        <f>((D$5-(D$8*8))+(D$5-(D$8*9)))*0.035/2</f>
        <v>175785.21880920001</v>
      </c>
      <c r="E25" s="168">
        <f>((E$5-(E$8*8))+(E$5-(E$8*9)))*0.035/2</f>
        <v>351570.43761840003</v>
      </c>
      <c r="F25" s="168">
        <f>((F$5-(F$8*8))+(F$5-(F$8*9)))*0.035/2</f>
        <v>439463.04702300014</v>
      </c>
    </row>
    <row r="26" spans="1:6">
      <c r="A26" s="148" t="s">
        <v>199</v>
      </c>
      <c r="B26" s="168">
        <f>((B$5-(B$8*9))+(B$5-(B$8*10)))*0.035/2</f>
        <v>0</v>
      </c>
      <c r="C26" s="168">
        <f>((C$5-(C$8*9))+(C$5-(C$8*10)))*0.035/2</f>
        <v>82565.784592200012</v>
      </c>
      <c r="D26" s="168">
        <f>((D$5-(D$8*9))+(D$5-(D$8*10)))*0.035/2</f>
        <v>165131.56918440002</v>
      </c>
      <c r="E26" s="168">
        <f>((E$5-(E$8*9))+(E$5-(E$8*10)))*0.035/2</f>
        <v>330263.13836880005</v>
      </c>
      <c r="F26" s="168">
        <f>((F$5-(F$8*9))+(F$5-(F$8*10)))*0.035/2</f>
        <v>412828.92296100012</v>
      </c>
    </row>
    <row r="27" spans="1:6">
      <c r="A27" s="148" t="s">
        <v>200</v>
      </c>
      <c r="B27" s="168">
        <f>((B$5-B$8)+(B$5))*0.035/2</f>
        <v>0</v>
      </c>
      <c r="C27" s="168">
        <f>((C$6-C$9)+(C$6))*0.035/2</f>
        <v>19797.960000000003</v>
      </c>
      <c r="D27" s="168">
        <f>((D$6-D$9)+(D$6))*0.035/2</f>
        <v>19797.960000000003</v>
      </c>
      <c r="E27" s="168">
        <f>((E$6-E$9)+(E$6))*0.035/2</f>
        <v>19797.960000000003</v>
      </c>
      <c r="F27" s="168">
        <f>((F$6-F$9)+(F$6))*0.035/2</f>
        <v>19797.960000000003</v>
      </c>
    </row>
    <row r="28" spans="1:6">
      <c r="A28" s="148" t="s">
        <v>201</v>
      </c>
      <c r="B28" s="168">
        <f>((B$5-B$8)+(B$5-(B$8*2)))*0.035/2</f>
        <v>0</v>
      </c>
      <c r="C28" s="168">
        <f>((C$6-C$9)+(C$6-(C$9*2)))*0.035/2</f>
        <v>18989.88</v>
      </c>
      <c r="D28" s="168">
        <f>((D$6-D$9)+(D$6-(D$9*2)))*0.035/2</f>
        <v>18989.88</v>
      </c>
      <c r="E28" s="168">
        <f>((E$6-E$9)+(E$6-(E$9*2)))*0.035/2</f>
        <v>18989.88</v>
      </c>
      <c r="F28" s="168">
        <f>((F$6-F$9)+(F$6-(F$9*2)))*0.035/2</f>
        <v>18989.88</v>
      </c>
    </row>
    <row r="29" spans="1:6">
      <c r="A29" s="148" t="s">
        <v>202</v>
      </c>
      <c r="B29" s="168">
        <f>((B$5-(B$8*2))+(B$5-(B$8*3)))*0.035/2</f>
        <v>0</v>
      </c>
      <c r="C29" s="168">
        <f>((C$6-(C$9*2))+(C$6-(C$9*3)))*0.035/2</f>
        <v>18181.800000000003</v>
      </c>
      <c r="D29" s="168">
        <f>((D$6-(D$9*2))+(D$6-(D$9*3)))*0.035/2</f>
        <v>18181.800000000003</v>
      </c>
      <c r="E29" s="168">
        <f>((E$6-(E$9*2))+(E$6-(E$9*3)))*0.035/2</f>
        <v>18181.800000000003</v>
      </c>
      <c r="F29" s="168">
        <f>((F$6-(F$9*2))+(F$6-(F$9*3)))*0.035/2</f>
        <v>18181.800000000003</v>
      </c>
    </row>
    <row r="30" spans="1:6">
      <c r="A30" s="148" t="s">
        <v>203</v>
      </c>
      <c r="B30" s="168">
        <f>((B$5-(B$8*3))+(B$5-(B$8*4)))*0.035/2</f>
        <v>0</v>
      </c>
      <c r="C30" s="168">
        <f>((C$6-(C$9*3))+(C$6-(C$9*4)))*0.035/2</f>
        <v>17373.72</v>
      </c>
      <c r="D30" s="168">
        <f>((D$6-(D$9*3))+(D$6-(D$9*4)))*0.035/2</f>
        <v>17373.72</v>
      </c>
      <c r="E30" s="168">
        <f>((E$6-(E$9*3))+(E$6-(E$9*4)))*0.035/2</f>
        <v>17373.72</v>
      </c>
      <c r="F30" s="168">
        <f>((F$6-(F$9*3))+(F$6-(F$9*4)))*0.035/2</f>
        <v>17373.72</v>
      </c>
    </row>
    <row r="31" spans="1:6">
      <c r="A31" s="148" t="s">
        <v>204</v>
      </c>
      <c r="B31" s="168">
        <f>((B$5-(B$8*4))+(B$5-(B$8*5)))*0.035/2</f>
        <v>0</v>
      </c>
      <c r="C31" s="168">
        <f>((C$6-(C$9*4))+(C$6-(C$9*5)))*0.035/2</f>
        <v>16565.640000000003</v>
      </c>
      <c r="D31" s="168">
        <f>((D$6-(D$9*4))+(D$6-(D$9*5)))*0.035/2</f>
        <v>16565.640000000003</v>
      </c>
      <c r="E31" s="168">
        <f>((E$6-(E$9*4))+(E$6-(E$9*5)))*0.035/2</f>
        <v>16565.640000000003</v>
      </c>
      <c r="F31" s="168">
        <f>((F$6-(F$9*4))+(F$6-(F$9*5)))*0.035/2</f>
        <v>16565.640000000003</v>
      </c>
    </row>
    <row r="32" spans="1:6">
      <c r="A32" s="148" t="s">
        <v>205</v>
      </c>
      <c r="B32" s="168">
        <f>((B$5-(B$8*5))+(B$5-(B$8*6)))*0.035/2</f>
        <v>0</v>
      </c>
      <c r="C32" s="168">
        <f>((C$6-(C$9*5))+(C$6-(C$9*6)))*0.035/2</f>
        <v>15757.560000000001</v>
      </c>
      <c r="D32" s="168">
        <f>((D$6-(D$9*5))+(D$6-(D$9*6)))*0.035/2</f>
        <v>15757.560000000001</v>
      </c>
      <c r="E32" s="168">
        <f>((E$6-(E$9*5))+(E$6-(E$9*6)))*0.035/2</f>
        <v>15757.560000000001</v>
      </c>
      <c r="F32" s="168">
        <f>((F$6-(F$9*5))+(F$6-(F$9*6)))*0.035/2</f>
        <v>15757.560000000001</v>
      </c>
    </row>
    <row r="33" spans="1:6">
      <c r="A33" s="148" t="s">
        <v>206</v>
      </c>
      <c r="B33" s="168">
        <f>((B$5-(B$8*6))+(B$5-(B$8*7)))*0.035/2</f>
        <v>0</v>
      </c>
      <c r="C33" s="168">
        <f>((C$6-(C$9*6))+(C$6-(C$9*7)))*0.035/2</f>
        <v>14949.480000000001</v>
      </c>
      <c r="D33" s="168">
        <f>((D$6-(D$9*6))+(D$6-(D$9*7)))*0.035/2</f>
        <v>14949.480000000001</v>
      </c>
      <c r="E33" s="168">
        <f>((E$6-(E$9*6))+(E$6-(E$9*7)))*0.035/2</f>
        <v>14949.480000000001</v>
      </c>
      <c r="F33" s="168">
        <f>((F$6-(F$9*6))+(F$6-(F$9*7)))*0.035/2</f>
        <v>14949.480000000001</v>
      </c>
    </row>
    <row r="34" spans="1:6">
      <c r="A34" s="148" t="s">
        <v>207</v>
      </c>
      <c r="B34" s="168">
        <f>((B$5-(B$8*7))+(B$5-(B$8*8)))*0.035/2</f>
        <v>0</v>
      </c>
      <c r="C34" s="168">
        <f>((C$6-(C$9*7))+(C$6-(C$9*8)))*0.035/2</f>
        <v>14141.400000000001</v>
      </c>
      <c r="D34" s="168">
        <f>((D$6-(D$9*7))+(D$6-(D$9*8)))*0.035/2</f>
        <v>14141.400000000001</v>
      </c>
      <c r="E34" s="168">
        <f>((E$6-(E$9*7))+(E$6-(E$9*8)))*0.035/2</f>
        <v>14141.400000000001</v>
      </c>
      <c r="F34" s="168">
        <f>((F$6-(F$9*7))+(F$6-(F$9*8)))*0.035/2</f>
        <v>14141.400000000001</v>
      </c>
    </row>
    <row r="35" spans="1:6">
      <c r="A35" s="148" t="s">
        <v>208</v>
      </c>
      <c r="B35" s="168">
        <f>((B$5-(B$8*8))+(B$5-(B$8*9)))*0.035/2</f>
        <v>0</v>
      </c>
      <c r="C35" s="168">
        <f>((C$6-(C$9*8))+(C$6-(C$9*9)))*0.035/2</f>
        <v>13333.320000000002</v>
      </c>
      <c r="D35" s="168">
        <f>((D$6-(D$9*8))+(D$6-(D$9*9)))*0.035/2</f>
        <v>13333.320000000002</v>
      </c>
      <c r="E35" s="168">
        <f>((E$6-(E$9*8))+(E$6-(E$9*9)))*0.035/2</f>
        <v>13333.320000000002</v>
      </c>
      <c r="F35" s="168">
        <f>((F$6-(F$9*8))+(F$6-(F$9*9)))*0.035/2</f>
        <v>13333.320000000002</v>
      </c>
    </row>
    <row r="36" spans="1:6">
      <c r="A36" s="148" t="s">
        <v>209</v>
      </c>
      <c r="B36" s="168">
        <f>((B$5-(B$8*9))+(B$5-(B$8*10)))*0.035/2</f>
        <v>0</v>
      </c>
      <c r="C36" s="168">
        <f>((C$6-(C$9*9))+(C$6-(C$9*10)))*0.035/2</f>
        <v>12525.240000000002</v>
      </c>
      <c r="D36" s="168">
        <f>((D$6-(D$9*9))+(D$6-(D$9*10)))*0.035/2</f>
        <v>12525.240000000002</v>
      </c>
      <c r="E36" s="168">
        <f>((E$6-(E$9*9))+(E$6-(E$9*10)))*0.035/2</f>
        <v>12525.240000000002</v>
      </c>
      <c r="F36" s="168">
        <f>((F$6-(F$9*9))+(F$6-(F$9*10)))*0.035/2</f>
        <v>12525.240000000002</v>
      </c>
    </row>
    <row r="38" spans="1:6">
      <c r="A38" s="153" t="s">
        <v>230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A1A5-65CB-6E43-9239-E8D8DD41A598}">
  <dimension ref="B2:AD22"/>
  <sheetViews>
    <sheetView workbookViewId="0">
      <selection activeCell="J25" sqref="J25"/>
    </sheetView>
  </sheetViews>
  <sheetFormatPr baseColWidth="10" defaultRowHeight="15"/>
  <sheetData>
    <row r="2" spans="2:30">
      <c r="B2" s="444" t="s">
        <v>0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5"/>
      <c r="AD2" s="444"/>
    </row>
    <row r="3" spans="2:30">
      <c r="B3" s="444" t="s">
        <v>1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5"/>
      <c r="AD3" s="444"/>
    </row>
    <row r="4" spans="2:30">
      <c r="B4" s="446" t="s">
        <v>33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5"/>
      <c r="AD4" s="444"/>
    </row>
    <row r="5" spans="2:30" ht="40">
      <c r="B5" s="447" t="s">
        <v>39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5"/>
      <c r="AD5" s="444"/>
    </row>
    <row r="6" spans="2:30" ht="27">
      <c r="B6" s="447" t="s">
        <v>733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5"/>
      <c r="AD6" s="444"/>
    </row>
    <row r="7" spans="2:30" ht="27">
      <c r="B7" s="447" t="s">
        <v>10</v>
      </c>
      <c r="C7" s="448" t="e">
        <f>#REF!</f>
        <v>#REF!</v>
      </c>
      <c r="D7" s="449"/>
      <c r="E7" s="450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5"/>
      <c r="AD7" s="444"/>
    </row>
    <row r="8" spans="2:30">
      <c r="B8" s="447" t="s">
        <v>96</v>
      </c>
      <c r="C8" s="451" t="e">
        <f>#REF!</f>
        <v>#REF!</v>
      </c>
      <c r="D8" s="452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5"/>
      <c r="AD8" s="444"/>
    </row>
    <row r="9" spans="2:30">
      <c r="B9" s="447"/>
      <c r="C9" s="444"/>
      <c r="D9" s="452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4"/>
      <c r="AC9" s="445"/>
      <c r="AD9" s="444"/>
    </row>
    <row r="10" spans="2:30">
      <c r="B10" s="447"/>
      <c r="C10" s="453" t="s">
        <v>91</v>
      </c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5"/>
      <c r="AD10" s="444"/>
    </row>
    <row r="11" spans="2:30">
      <c r="B11" s="447"/>
      <c r="C11" s="454" t="s">
        <v>92</v>
      </c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5"/>
      <c r="AD11" s="444"/>
    </row>
    <row r="12" spans="2:30">
      <c r="B12" s="447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5"/>
      <c r="AD12" s="444"/>
    </row>
    <row r="13" spans="2:30" ht="16" thickBot="1">
      <c r="B13" s="447"/>
      <c r="C13" s="455" t="s">
        <v>644</v>
      </c>
      <c r="D13" s="455" t="s">
        <v>645</v>
      </c>
      <c r="E13" s="455" t="s">
        <v>480</v>
      </c>
      <c r="F13" s="455" t="s">
        <v>481</v>
      </c>
      <c r="G13" s="455" t="s">
        <v>482</v>
      </c>
      <c r="H13" s="455" t="s">
        <v>646</v>
      </c>
      <c r="I13" s="455" t="s">
        <v>647</v>
      </c>
      <c r="J13" s="455" t="s">
        <v>648</v>
      </c>
      <c r="K13" s="455" t="s">
        <v>649</v>
      </c>
      <c r="L13" s="455" t="s">
        <v>650</v>
      </c>
      <c r="M13" s="455" t="s">
        <v>651</v>
      </c>
      <c r="N13" s="455" t="s">
        <v>652</v>
      </c>
      <c r="O13" s="455" t="s">
        <v>653</v>
      </c>
      <c r="P13" s="455" t="s">
        <v>654</v>
      </c>
      <c r="Q13" s="455" t="s">
        <v>655</v>
      </c>
      <c r="R13" s="455" t="s">
        <v>656</v>
      </c>
      <c r="S13" s="455" t="s">
        <v>657</v>
      </c>
      <c r="T13" s="455" t="s">
        <v>658</v>
      </c>
      <c r="U13" s="455" t="s">
        <v>659</v>
      </c>
      <c r="V13" s="455" t="s">
        <v>660</v>
      </c>
      <c r="W13" s="455" t="s">
        <v>661</v>
      </c>
      <c r="X13" s="455" t="s">
        <v>662</v>
      </c>
      <c r="Y13" s="455" t="s">
        <v>663</v>
      </c>
      <c r="Z13" s="455" t="s">
        <v>664</v>
      </c>
      <c r="AA13" s="455" t="s">
        <v>665</v>
      </c>
      <c r="AB13" s="452"/>
      <c r="AC13" s="452"/>
      <c r="AD13" s="452"/>
    </row>
    <row r="14" spans="2:30" ht="16" thickTop="1">
      <c r="B14" s="447"/>
      <c r="C14" s="456" t="s">
        <v>21</v>
      </c>
      <c r="D14" s="456" t="s">
        <v>22</v>
      </c>
      <c r="E14" s="456" t="s">
        <v>23</v>
      </c>
      <c r="F14" s="456" t="s">
        <v>24</v>
      </c>
      <c r="G14" s="456" t="s">
        <v>25</v>
      </c>
      <c r="H14" s="457" t="s">
        <v>116</v>
      </c>
      <c r="I14" s="457" t="s">
        <v>117</v>
      </c>
      <c r="J14" s="457" t="s">
        <v>118</v>
      </c>
      <c r="K14" s="457" t="s">
        <v>119</v>
      </c>
      <c r="L14" s="457" t="s">
        <v>120</v>
      </c>
      <c r="M14" s="457" t="s">
        <v>121</v>
      </c>
      <c r="N14" s="457" t="s">
        <v>122</v>
      </c>
      <c r="O14" s="457" t="s">
        <v>123</v>
      </c>
      <c r="P14" s="457" t="s">
        <v>124</v>
      </c>
      <c r="Q14" s="457" t="s">
        <v>125</v>
      </c>
      <c r="R14" s="457" t="s">
        <v>126</v>
      </c>
      <c r="S14" s="457" t="s">
        <v>127</v>
      </c>
      <c r="T14" s="457" t="s">
        <v>128</v>
      </c>
      <c r="U14" s="457" t="s">
        <v>129</v>
      </c>
      <c r="V14" s="457" t="s">
        <v>130</v>
      </c>
      <c r="W14" s="457" t="s">
        <v>131</v>
      </c>
      <c r="X14" s="457" t="s">
        <v>132</v>
      </c>
      <c r="Y14" s="457" t="s">
        <v>133</v>
      </c>
      <c r="Z14" s="457" t="s">
        <v>134</v>
      </c>
      <c r="AA14" s="457" t="s">
        <v>135</v>
      </c>
      <c r="AB14" s="456"/>
      <c r="AC14" s="458" t="s">
        <v>34</v>
      </c>
      <c r="AD14" s="452"/>
    </row>
    <row r="15" spans="2:30" ht="27">
      <c r="B15" s="459" t="s">
        <v>144</v>
      </c>
      <c r="C15" s="460" t="s">
        <v>26</v>
      </c>
      <c r="D15" s="460" t="s">
        <v>26</v>
      </c>
      <c r="E15" s="460" t="s">
        <v>26</v>
      </c>
      <c r="F15" s="460" t="s">
        <v>26</v>
      </c>
      <c r="G15" s="460" t="s">
        <v>26</v>
      </c>
      <c r="H15" s="460" t="s">
        <v>26</v>
      </c>
      <c r="I15" s="460" t="s">
        <v>26</v>
      </c>
      <c r="J15" s="460" t="s">
        <v>26</v>
      </c>
      <c r="K15" s="460" t="s">
        <v>26</v>
      </c>
      <c r="L15" s="460" t="s">
        <v>26</v>
      </c>
      <c r="M15" s="460" t="s">
        <v>26</v>
      </c>
      <c r="N15" s="460" t="s">
        <v>26</v>
      </c>
      <c r="O15" s="460" t="s">
        <v>26</v>
      </c>
      <c r="P15" s="460" t="s">
        <v>26</v>
      </c>
      <c r="Q15" s="460" t="s">
        <v>26</v>
      </c>
      <c r="R15" s="460" t="s">
        <v>26</v>
      </c>
      <c r="S15" s="460" t="s">
        <v>26</v>
      </c>
      <c r="T15" s="460" t="s">
        <v>26</v>
      </c>
      <c r="U15" s="460" t="s">
        <v>26</v>
      </c>
      <c r="V15" s="460" t="s">
        <v>26</v>
      </c>
      <c r="W15" s="460" t="s">
        <v>26</v>
      </c>
      <c r="X15" s="460" t="s">
        <v>26</v>
      </c>
      <c r="Y15" s="460" t="s">
        <v>26</v>
      </c>
      <c r="Z15" s="460" t="s">
        <v>26</v>
      </c>
      <c r="AA15" s="460" t="s">
        <v>26</v>
      </c>
      <c r="AB15" s="460"/>
      <c r="AC15" s="461" t="s">
        <v>26</v>
      </c>
      <c r="AD15" s="452"/>
    </row>
    <row r="16" spans="2:30">
      <c r="B16" s="447" t="s">
        <v>37</v>
      </c>
      <c r="C16" s="452">
        <v>482.61236366001691</v>
      </c>
      <c r="D16" s="452">
        <v>4773.5550815384704</v>
      </c>
      <c r="E16" s="452">
        <v>4946.840438896078</v>
      </c>
      <c r="F16" s="452">
        <v>5093.2516514791068</v>
      </c>
      <c r="G16" s="452">
        <v>5217.2682211832234</v>
      </c>
      <c r="H16" s="452">
        <v>5341.28479088734</v>
      </c>
      <c r="I16" s="452">
        <v>4865.28479088734</v>
      </c>
      <c r="J16" s="452">
        <v>4865.28479088734</v>
      </c>
      <c r="K16" s="452">
        <v>4865.28479088734</v>
      </c>
      <c r="L16" s="452">
        <v>4865.28479088734</v>
      </c>
      <c r="M16" s="452">
        <v>4865.28479088734</v>
      </c>
      <c r="N16" s="452">
        <v>4865.28479088734</v>
      </c>
      <c r="O16" s="452">
        <v>4865.28479088734</v>
      </c>
      <c r="P16" s="452">
        <v>4865.28479088734</v>
      </c>
      <c r="Q16" s="452">
        <v>4865.28479088734</v>
      </c>
      <c r="R16" s="452">
        <v>4865.28479088734</v>
      </c>
      <c r="S16" s="452">
        <v>4865.28479088734</v>
      </c>
      <c r="T16" s="452">
        <v>4865.28479088734</v>
      </c>
      <c r="U16" s="452">
        <v>4865.28479088734</v>
      </c>
      <c r="V16" s="452">
        <v>4865.28479088734</v>
      </c>
      <c r="W16" s="452">
        <v>4865.28479088734</v>
      </c>
      <c r="X16" s="452">
        <v>4865.28479088734</v>
      </c>
      <c r="Y16" s="452">
        <v>4865.28479088734</v>
      </c>
      <c r="Z16" s="452">
        <v>4865.28479088734</v>
      </c>
      <c r="AA16" s="452">
        <v>4865.28479088734</v>
      </c>
      <c r="AB16" s="452"/>
      <c r="AC16" s="462">
        <f>SUM(C16:AB16)</f>
        <v>118295.22357450365</v>
      </c>
      <c r="AD16" s="452" t="s">
        <v>43</v>
      </c>
    </row>
    <row r="17" spans="2:30" ht="27">
      <c r="B17" s="447" t="s">
        <v>734</v>
      </c>
      <c r="C17" s="452">
        <v>3108.4523115717402</v>
      </c>
      <c r="D17" s="452">
        <v>7905.5246988091103</v>
      </c>
      <c r="E17" s="452">
        <v>8032.01309399005</v>
      </c>
      <c r="F17" s="452">
        <f>43.2*1.018</f>
        <v>43.977600000000002</v>
      </c>
      <c r="G17" s="452">
        <f>43.2*1.035</f>
        <v>44.711999999999996</v>
      </c>
      <c r="H17" s="452">
        <f>43.2*1.035</f>
        <v>44.711999999999996</v>
      </c>
      <c r="I17" s="452">
        <f>43.2*1.068</f>
        <v>46.137600000000006</v>
      </c>
      <c r="J17" s="452">
        <f>I17</f>
        <v>46.137600000000006</v>
      </c>
      <c r="K17" s="452">
        <f t="shared" ref="K17:AA17" si="0">J17</f>
        <v>46.137600000000006</v>
      </c>
      <c r="L17" s="452">
        <f t="shared" si="0"/>
        <v>46.137600000000006</v>
      </c>
      <c r="M17" s="452">
        <f t="shared" si="0"/>
        <v>46.137600000000006</v>
      </c>
      <c r="N17" s="452">
        <f t="shared" si="0"/>
        <v>46.137600000000006</v>
      </c>
      <c r="O17" s="452">
        <f t="shared" si="0"/>
        <v>46.137600000000006</v>
      </c>
      <c r="P17" s="452">
        <f t="shared" si="0"/>
        <v>46.137600000000006</v>
      </c>
      <c r="Q17" s="452">
        <f t="shared" si="0"/>
        <v>46.137600000000006</v>
      </c>
      <c r="R17" s="452">
        <f t="shared" si="0"/>
        <v>46.137600000000006</v>
      </c>
      <c r="S17" s="452">
        <f t="shared" si="0"/>
        <v>46.137600000000006</v>
      </c>
      <c r="T17" s="452">
        <f t="shared" si="0"/>
        <v>46.137600000000006</v>
      </c>
      <c r="U17" s="452">
        <f t="shared" si="0"/>
        <v>46.137600000000006</v>
      </c>
      <c r="V17" s="452">
        <f t="shared" si="0"/>
        <v>46.137600000000006</v>
      </c>
      <c r="W17" s="452">
        <f t="shared" si="0"/>
        <v>46.137600000000006</v>
      </c>
      <c r="X17" s="452">
        <f t="shared" si="0"/>
        <v>46.137600000000006</v>
      </c>
      <c r="Y17" s="452">
        <f t="shared" si="0"/>
        <v>46.137600000000006</v>
      </c>
      <c r="Z17" s="452">
        <f t="shared" si="0"/>
        <v>46.137600000000006</v>
      </c>
      <c r="AA17" s="452">
        <f t="shared" si="0"/>
        <v>46.137600000000006</v>
      </c>
      <c r="AB17" s="452"/>
      <c r="AC17" s="462">
        <f>SUM(C17:AB17)</f>
        <v>20056.006104370867</v>
      </c>
      <c r="AD17" s="452" t="s">
        <v>735</v>
      </c>
    </row>
    <row r="18" spans="2:30">
      <c r="B18" s="447" t="s">
        <v>38</v>
      </c>
      <c r="C18" s="452">
        <v>-9412.0297320000009</v>
      </c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62">
        <f>SUM(C18:AB18)</f>
        <v>-9412.0297320000009</v>
      </c>
      <c r="AD18" s="452" t="s">
        <v>64</v>
      </c>
    </row>
    <row r="19" spans="2:30">
      <c r="B19" s="447" t="s">
        <v>34</v>
      </c>
      <c r="C19" s="463">
        <f>SUM(C16:C18)</f>
        <v>-5820.9650567682438</v>
      </c>
      <c r="D19" s="463">
        <f>SUM(D16:D18)</f>
        <v>12679.07978034758</v>
      </c>
      <c r="E19" s="463">
        <f>SUM(E16:E18)</f>
        <v>12978.853532886129</v>
      </c>
      <c r="F19" s="463">
        <f>SUM(F16:F18)</f>
        <v>5137.229251479107</v>
      </c>
      <c r="G19" s="463">
        <f>SUM(G16:G18)</f>
        <v>5261.9802211832239</v>
      </c>
      <c r="H19" s="463">
        <f t="shared" ref="H19:AA19" si="1">SUM(H16:H18)</f>
        <v>5385.9967908873405</v>
      </c>
      <c r="I19" s="463">
        <f t="shared" si="1"/>
        <v>4911.42239088734</v>
      </c>
      <c r="J19" s="463">
        <f t="shared" si="1"/>
        <v>4911.42239088734</v>
      </c>
      <c r="K19" s="463">
        <f t="shared" si="1"/>
        <v>4911.42239088734</v>
      </c>
      <c r="L19" s="463">
        <f t="shared" si="1"/>
        <v>4911.42239088734</v>
      </c>
      <c r="M19" s="463">
        <f t="shared" si="1"/>
        <v>4911.42239088734</v>
      </c>
      <c r="N19" s="463">
        <f t="shared" si="1"/>
        <v>4911.42239088734</v>
      </c>
      <c r="O19" s="463">
        <f t="shared" si="1"/>
        <v>4911.42239088734</v>
      </c>
      <c r="P19" s="463">
        <f t="shared" si="1"/>
        <v>4911.42239088734</v>
      </c>
      <c r="Q19" s="463">
        <f t="shared" si="1"/>
        <v>4911.42239088734</v>
      </c>
      <c r="R19" s="463">
        <f t="shared" si="1"/>
        <v>4911.42239088734</v>
      </c>
      <c r="S19" s="463">
        <f t="shared" si="1"/>
        <v>4911.42239088734</v>
      </c>
      <c r="T19" s="463">
        <f t="shared" si="1"/>
        <v>4911.42239088734</v>
      </c>
      <c r="U19" s="463">
        <f t="shared" si="1"/>
        <v>4911.42239088734</v>
      </c>
      <c r="V19" s="463">
        <f t="shared" si="1"/>
        <v>4911.42239088734</v>
      </c>
      <c r="W19" s="463">
        <f t="shared" si="1"/>
        <v>4911.42239088734</v>
      </c>
      <c r="X19" s="463">
        <f t="shared" si="1"/>
        <v>4911.42239088734</v>
      </c>
      <c r="Y19" s="463">
        <f t="shared" si="1"/>
        <v>4911.42239088734</v>
      </c>
      <c r="Z19" s="463">
        <f t="shared" si="1"/>
        <v>4911.42239088734</v>
      </c>
      <c r="AA19" s="463">
        <f t="shared" si="1"/>
        <v>4911.42239088734</v>
      </c>
      <c r="AB19" s="463"/>
      <c r="AC19" s="464">
        <f>SUM(C19:AB19)</f>
        <v>128939.19994687458</v>
      </c>
      <c r="AD19" s="452"/>
    </row>
    <row r="20" spans="2:30">
      <c r="B20" s="447" t="s">
        <v>226</v>
      </c>
      <c r="C20" s="465">
        <v>1</v>
      </c>
      <c r="D20" s="465">
        <f t="shared" ref="D20:AA20" si="2">ROUND(C20/1.1,3)</f>
        <v>0.90900000000000003</v>
      </c>
      <c r="E20" s="465">
        <f t="shared" si="2"/>
        <v>0.82599999999999996</v>
      </c>
      <c r="F20" s="465">
        <f t="shared" si="2"/>
        <v>0.751</v>
      </c>
      <c r="G20" s="465">
        <f t="shared" si="2"/>
        <v>0.68300000000000005</v>
      </c>
      <c r="H20" s="465">
        <f t="shared" si="2"/>
        <v>0.621</v>
      </c>
      <c r="I20" s="465">
        <f t="shared" si="2"/>
        <v>0.56499999999999995</v>
      </c>
      <c r="J20" s="465">
        <f t="shared" si="2"/>
        <v>0.51400000000000001</v>
      </c>
      <c r="K20" s="465">
        <f t="shared" si="2"/>
        <v>0.46700000000000003</v>
      </c>
      <c r="L20" s="465">
        <f t="shared" si="2"/>
        <v>0.42499999999999999</v>
      </c>
      <c r="M20" s="465">
        <f t="shared" si="2"/>
        <v>0.38600000000000001</v>
      </c>
      <c r="N20" s="465">
        <f t="shared" si="2"/>
        <v>0.35099999999999998</v>
      </c>
      <c r="O20" s="465">
        <f t="shared" si="2"/>
        <v>0.31900000000000001</v>
      </c>
      <c r="P20" s="465">
        <f t="shared" si="2"/>
        <v>0.28999999999999998</v>
      </c>
      <c r="Q20" s="465">
        <f t="shared" si="2"/>
        <v>0.26400000000000001</v>
      </c>
      <c r="R20" s="465">
        <f t="shared" si="2"/>
        <v>0.24</v>
      </c>
      <c r="S20" s="465">
        <f t="shared" si="2"/>
        <v>0.218</v>
      </c>
      <c r="T20" s="465">
        <f t="shared" si="2"/>
        <v>0.19800000000000001</v>
      </c>
      <c r="U20" s="465">
        <f t="shared" si="2"/>
        <v>0.18</v>
      </c>
      <c r="V20" s="465">
        <f t="shared" si="2"/>
        <v>0.16400000000000001</v>
      </c>
      <c r="W20" s="465">
        <f t="shared" si="2"/>
        <v>0.14899999999999999</v>
      </c>
      <c r="X20" s="465">
        <f t="shared" si="2"/>
        <v>0.13500000000000001</v>
      </c>
      <c r="Y20" s="465">
        <f t="shared" si="2"/>
        <v>0.123</v>
      </c>
      <c r="Z20" s="465">
        <f t="shared" si="2"/>
        <v>0.112</v>
      </c>
      <c r="AA20" s="465">
        <f t="shared" si="2"/>
        <v>0.10199999999999999</v>
      </c>
      <c r="AB20" s="465"/>
      <c r="AC20" s="466"/>
      <c r="AD20" s="452"/>
    </row>
    <row r="21" spans="2:30" ht="16" thickBot="1">
      <c r="B21" s="467" t="s">
        <v>35</v>
      </c>
      <c r="C21" s="463">
        <f>C19*C20</f>
        <v>-5820.9650567682438</v>
      </c>
      <c r="D21" s="463">
        <f t="shared" ref="D21:AA21" si="3">D19*D20</f>
        <v>11525.28352033595</v>
      </c>
      <c r="E21" s="463">
        <f t="shared" si="3"/>
        <v>10720.533018163942</v>
      </c>
      <c r="F21" s="463">
        <f t="shared" si="3"/>
        <v>3858.0591678608093</v>
      </c>
      <c r="G21" s="463">
        <f t="shared" si="3"/>
        <v>3593.9324910681421</v>
      </c>
      <c r="H21" s="463">
        <f t="shared" si="3"/>
        <v>3344.7040071410383</v>
      </c>
      <c r="I21" s="463">
        <f t="shared" si="3"/>
        <v>2774.953650851347</v>
      </c>
      <c r="J21" s="463">
        <f t="shared" si="3"/>
        <v>2524.4711089160928</v>
      </c>
      <c r="K21" s="463">
        <f t="shared" si="3"/>
        <v>2293.6342565443879</v>
      </c>
      <c r="L21" s="463">
        <f t="shared" si="3"/>
        <v>2087.3545161271195</v>
      </c>
      <c r="M21" s="463">
        <f t="shared" si="3"/>
        <v>1895.8090428825133</v>
      </c>
      <c r="N21" s="463">
        <f t="shared" si="3"/>
        <v>1723.9092592014563</v>
      </c>
      <c r="O21" s="463">
        <f t="shared" si="3"/>
        <v>1566.7437426930614</v>
      </c>
      <c r="P21" s="463">
        <f t="shared" si="3"/>
        <v>1424.3124933573285</v>
      </c>
      <c r="Q21" s="463">
        <f t="shared" si="3"/>
        <v>1296.6155111942578</v>
      </c>
      <c r="R21" s="463">
        <f t="shared" si="3"/>
        <v>1178.7413738129615</v>
      </c>
      <c r="S21" s="463">
        <f t="shared" si="3"/>
        <v>1070.6900812134402</v>
      </c>
      <c r="T21" s="463">
        <f t="shared" si="3"/>
        <v>972.46163339569341</v>
      </c>
      <c r="U21" s="463">
        <f t="shared" si="3"/>
        <v>884.05603035972115</v>
      </c>
      <c r="V21" s="463">
        <f t="shared" si="3"/>
        <v>805.47327210552385</v>
      </c>
      <c r="W21" s="463">
        <f t="shared" si="3"/>
        <v>731.80193624221363</v>
      </c>
      <c r="X21" s="463">
        <f t="shared" si="3"/>
        <v>663.04202276979095</v>
      </c>
      <c r="Y21" s="463">
        <f t="shared" si="3"/>
        <v>604.10495407914277</v>
      </c>
      <c r="Z21" s="463">
        <f t="shared" si="3"/>
        <v>550.07930777938213</v>
      </c>
      <c r="AA21" s="463">
        <f t="shared" si="3"/>
        <v>500.96508387050864</v>
      </c>
      <c r="AB21" s="463"/>
      <c r="AC21" s="468">
        <f>SUM(C21:AB21)</f>
        <v>52770.76642519758</v>
      </c>
      <c r="AD21" s="452"/>
    </row>
    <row r="22" spans="2:30" ht="16" thickTop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9CDE-6965-9047-9529-C318CB2B61EB}">
  <dimension ref="A1:F28"/>
  <sheetViews>
    <sheetView tabSelected="1" workbookViewId="0">
      <selection sqref="A1:XFD1048576"/>
    </sheetView>
  </sheetViews>
  <sheetFormatPr baseColWidth="10" defaultColWidth="8.83203125" defaultRowHeight="15"/>
  <cols>
    <col min="1" max="1" width="15.5" customWidth="1"/>
    <col min="2" max="2" width="18.33203125" customWidth="1"/>
    <col min="3" max="3" width="18.5" customWidth="1"/>
    <col min="4" max="6" width="13.5" customWidth="1"/>
  </cols>
  <sheetData>
    <row r="1" spans="1:6" ht="16">
      <c r="A1" s="524" t="s">
        <v>736</v>
      </c>
    </row>
    <row r="2" spans="1:6">
      <c r="A2" s="524"/>
    </row>
    <row r="3" spans="1:6" ht="33" thickBot="1">
      <c r="A3" s="525" t="s">
        <v>737</v>
      </c>
      <c r="B3" s="526" t="s">
        <v>738</v>
      </c>
      <c r="C3" s="526" t="s">
        <v>739</v>
      </c>
      <c r="D3" s="526" t="s">
        <v>740</v>
      </c>
      <c r="E3" s="526" t="s">
        <v>741</v>
      </c>
      <c r="F3" s="527" t="s">
        <v>742</v>
      </c>
    </row>
    <row r="4" spans="1:6" ht="16">
      <c r="A4" s="528" t="s">
        <v>743</v>
      </c>
      <c r="B4" s="529" t="s">
        <v>744</v>
      </c>
      <c r="C4" s="530" t="s">
        <v>745</v>
      </c>
      <c r="D4" s="529" t="s">
        <v>746</v>
      </c>
      <c r="E4" s="529" t="s">
        <v>747</v>
      </c>
      <c r="F4" s="531" t="s">
        <v>748</v>
      </c>
    </row>
    <row r="5" spans="1:6" ht="32">
      <c r="A5" s="532"/>
      <c r="B5" s="533"/>
      <c r="C5" s="524" t="s">
        <v>749</v>
      </c>
      <c r="D5" s="533"/>
      <c r="E5" s="533"/>
      <c r="F5" s="534"/>
    </row>
    <row r="6" spans="1:6" ht="49" thickBot="1">
      <c r="A6" s="535"/>
      <c r="B6" s="536"/>
      <c r="C6" s="537" t="s">
        <v>750</v>
      </c>
      <c r="D6" s="536"/>
      <c r="E6" s="536"/>
      <c r="F6" s="538"/>
    </row>
    <row r="7" spans="1:6" ht="16">
      <c r="A7" s="528" t="s">
        <v>751</v>
      </c>
      <c r="B7" s="529" t="s">
        <v>752</v>
      </c>
      <c r="C7" s="530" t="s">
        <v>745</v>
      </c>
      <c r="D7" s="529" t="s">
        <v>753</v>
      </c>
      <c r="E7" s="529" t="s">
        <v>754</v>
      </c>
      <c r="F7" s="531" t="s">
        <v>755</v>
      </c>
    </row>
    <row r="8" spans="1:6" ht="33" thickBot="1">
      <c r="A8" s="535"/>
      <c r="B8" s="536"/>
      <c r="C8" s="539" t="s">
        <v>756</v>
      </c>
      <c r="D8" s="536"/>
      <c r="E8" s="536"/>
      <c r="F8" s="538"/>
    </row>
    <row r="9" spans="1:6" ht="32">
      <c r="A9" s="528" t="s">
        <v>757</v>
      </c>
      <c r="B9" s="529" t="s">
        <v>758</v>
      </c>
      <c r="C9" s="530" t="s">
        <v>756</v>
      </c>
      <c r="D9" s="529" t="s">
        <v>759</v>
      </c>
      <c r="E9" s="529" t="s">
        <v>760</v>
      </c>
      <c r="F9" s="531" t="s">
        <v>761</v>
      </c>
    </row>
    <row r="10" spans="1:6" ht="32">
      <c r="A10" s="532"/>
      <c r="B10" s="533"/>
      <c r="C10" s="524" t="s">
        <v>762</v>
      </c>
      <c r="D10" s="533"/>
      <c r="E10" s="533"/>
      <c r="F10" s="534"/>
    </row>
    <row r="11" spans="1:6" ht="32">
      <c r="A11" s="532"/>
      <c r="B11" s="533"/>
      <c r="C11" s="524" t="s">
        <v>763</v>
      </c>
      <c r="D11" s="533"/>
      <c r="E11" s="533"/>
      <c r="F11" s="534"/>
    </row>
    <row r="12" spans="1:6" ht="32">
      <c r="A12" s="532"/>
      <c r="B12" s="533"/>
      <c r="C12" s="524" t="s">
        <v>764</v>
      </c>
      <c r="D12" s="533"/>
      <c r="E12" s="533"/>
      <c r="F12" s="534"/>
    </row>
    <row r="13" spans="1:6" ht="32">
      <c r="A13" s="532"/>
      <c r="B13" s="533"/>
      <c r="C13" s="524" t="s">
        <v>765</v>
      </c>
      <c r="D13" s="533"/>
      <c r="E13" s="533"/>
      <c r="F13" s="534"/>
    </row>
    <row r="14" spans="1:6" ht="33" thickBot="1">
      <c r="A14" s="535"/>
      <c r="B14" s="536"/>
      <c r="C14" s="539" t="s">
        <v>766</v>
      </c>
      <c r="D14" s="536"/>
      <c r="E14" s="536"/>
      <c r="F14" s="538"/>
    </row>
    <row r="15" spans="1:6" ht="32">
      <c r="A15" s="528" t="s">
        <v>767</v>
      </c>
      <c r="B15" s="529" t="s">
        <v>768</v>
      </c>
      <c r="C15" s="530" t="s">
        <v>756</v>
      </c>
      <c r="D15" s="529" t="s">
        <v>769</v>
      </c>
      <c r="E15" s="529" t="s">
        <v>770</v>
      </c>
      <c r="F15" s="531" t="s">
        <v>771</v>
      </c>
    </row>
    <row r="16" spans="1:6" ht="32">
      <c r="A16" s="532"/>
      <c r="B16" s="533"/>
      <c r="C16" s="524" t="s">
        <v>772</v>
      </c>
      <c r="D16" s="533"/>
      <c r="E16" s="533"/>
      <c r="F16" s="534"/>
    </row>
    <row r="17" spans="1:6" ht="32">
      <c r="A17" s="532"/>
      <c r="B17" s="533"/>
      <c r="C17" s="524" t="s">
        <v>773</v>
      </c>
      <c r="D17" s="533"/>
      <c r="E17" s="533"/>
      <c r="F17" s="534"/>
    </row>
    <row r="18" spans="1:6" ht="32">
      <c r="A18" s="532"/>
      <c r="B18" s="533"/>
      <c r="C18" s="524" t="s">
        <v>774</v>
      </c>
      <c r="D18" s="533"/>
      <c r="E18" s="533"/>
      <c r="F18" s="534"/>
    </row>
    <row r="19" spans="1:6" ht="32">
      <c r="A19" s="532"/>
      <c r="B19" s="533"/>
      <c r="C19" s="524" t="s">
        <v>763</v>
      </c>
      <c r="D19" s="533"/>
      <c r="E19" s="533"/>
      <c r="F19" s="534"/>
    </row>
    <row r="20" spans="1:6" ht="32">
      <c r="A20" s="532"/>
      <c r="B20" s="533"/>
      <c r="C20" s="524" t="s">
        <v>775</v>
      </c>
      <c r="D20" s="533"/>
      <c r="E20" s="533"/>
      <c r="F20" s="534"/>
    </row>
    <row r="21" spans="1:6" ht="33" thickBot="1">
      <c r="A21" s="535"/>
      <c r="B21" s="536"/>
      <c r="C21" s="539" t="s">
        <v>764</v>
      </c>
      <c r="D21" s="536"/>
      <c r="E21" s="536"/>
      <c r="F21" s="538"/>
    </row>
    <row r="22" spans="1:6" ht="49" thickBot="1">
      <c r="A22" s="540" t="s">
        <v>776</v>
      </c>
      <c r="B22" s="541" t="s">
        <v>777</v>
      </c>
      <c r="C22" s="541" t="s">
        <v>778</v>
      </c>
      <c r="D22" s="541" t="s">
        <v>779</v>
      </c>
      <c r="E22" s="541" t="s">
        <v>780</v>
      </c>
      <c r="F22" s="542" t="s">
        <v>781</v>
      </c>
    </row>
    <row r="23" spans="1:6" ht="48">
      <c r="A23" s="528" t="s">
        <v>782</v>
      </c>
      <c r="B23" s="529" t="s">
        <v>783</v>
      </c>
      <c r="C23" s="530" t="s">
        <v>784</v>
      </c>
      <c r="D23" s="529" t="s">
        <v>785</v>
      </c>
      <c r="E23" s="529" t="s">
        <v>786</v>
      </c>
      <c r="F23" s="531" t="s">
        <v>787</v>
      </c>
    </row>
    <row r="24" spans="1:6" ht="32">
      <c r="A24" s="532"/>
      <c r="B24" s="533"/>
      <c r="C24" s="524" t="s">
        <v>788</v>
      </c>
      <c r="D24" s="533"/>
      <c r="E24" s="533"/>
      <c r="F24" s="534"/>
    </row>
    <row r="25" spans="1:6" ht="48">
      <c r="A25" s="532"/>
      <c r="B25" s="533"/>
      <c r="C25" s="524" t="s">
        <v>789</v>
      </c>
      <c r="D25" s="533"/>
      <c r="E25" s="533"/>
      <c r="F25" s="534"/>
    </row>
    <row r="26" spans="1:6" ht="32">
      <c r="A26" s="532"/>
      <c r="B26" s="533"/>
      <c r="C26" s="524" t="s">
        <v>790</v>
      </c>
      <c r="D26" s="533"/>
      <c r="E26" s="533"/>
      <c r="F26" s="534"/>
    </row>
    <row r="27" spans="1:6" ht="49" thickBot="1">
      <c r="A27" s="535"/>
      <c r="B27" s="536"/>
      <c r="C27" s="539" t="s">
        <v>791</v>
      </c>
      <c r="D27" s="536"/>
      <c r="E27" s="536"/>
      <c r="F27" s="538"/>
    </row>
    <row r="28" spans="1:6" ht="16">
      <c r="A28" s="543"/>
      <c r="B28" s="544"/>
      <c r="C28" s="545" t="s">
        <v>792</v>
      </c>
      <c r="D28" s="544" t="s">
        <v>793</v>
      </c>
      <c r="E28" s="544" t="s">
        <v>794</v>
      </c>
      <c r="F28" s="546" t="s">
        <v>795</v>
      </c>
    </row>
  </sheetData>
  <mergeCells count="25">
    <mergeCell ref="A23:A27"/>
    <mergeCell ref="B23:B27"/>
    <mergeCell ref="D23:D27"/>
    <mergeCell ref="E23:E27"/>
    <mergeCell ref="F23:F27"/>
    <mergeCell ref="A9:A14"/>
    <mergeCell ref="B9:B14"/>
    <mergeCell ref="D9:D14"/>
    <mergeCell ref="E9:E14"/>
    <mergeCell ref="F9:F14"/>
    <mergeCell ref="A15:A21"/>
    <mergeCell ref="B15:B21"/>
    <mergeCell ref="D15:D21"/>
    <mergeCell ref="E15:E21"/>
    <mergeCell ref="F15:F21"/>
    <mergeCell ref="A4:A6"/>
    <mergeCell ref="B4:B6"/>
    <mergeCell ref="D4:D6"/>
    <mergeCell ref="E4:E6"/>
    <mergeCell ref="F4:F6"/>
    <mergeCell ref="A7:A8"/>
    <mergeCell ref="B7:B8"/>
    <mergeCell ref="D7:D8"/>
    <mergeCell ref="E7:E8"/>
    <mergeCell ref="F7: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731D-D722-482A-AD7A-4D8EA4CBAA11}">
  <dimension ref="A1:L29"/>
  <sheetViews>
    <sheetView topLeftCell="A2" workbookViewId="0">
      <selection activeCell="B7" sqref="B7"/>
    </sheetView>
  </sheetViews>
  <sheetFormatPr baseColWidth="10" defaultColWidth="9.1640625" defaultRowHeight="11"/>
  <cols>
    <col min="1" max="1" width="49.5" style="234" customWidth="1"/>
    <col min="2" max="11" width="12.6640625" style="234" customWidth="1"/>
    <col min="12" max="16384" width="9.1640625" style="234"/>
  </cols>
  <sheetData>
    <row r="1" spans="1:12" ht="12" thickBot="1">
      <c r="A1" s="380" t="s">
        <v>448</v>
      </c>
      <c r="B1" s="485" t="s">
        <v>4</v>
      </c>
      <c r="C1" s="485"/>
      <c r="D1" s="485"/>
      <c r="E1" s="485"/>
      <c r="F1" s="485"/>
      <c r="G1" s="485" t="s">
        <v>150</v>
      </c>
      <c r="H1" s="485"/>
      <c r="I1" s="485"/>
      <c r="J1" s="485"/>
      <c r="K1" s="485"/>
    </row>
    <row r="2" spans="1:12" s="381" customFormat="1">
      <c r="B2" s="382" t="s">
        <v>28</v>
      </c>
      <c r="C2" s="382" t="s">
        <v>28</v>
      </c>
      <c r="D2" s="382" t="s">
        <v>28</v>
      </c>
      <c r="E2" s="382" t="s">
        <v>28</v>
      </c>
      <c r="F2" s="382" t="s">
        <v>28</v>
      </c>
      <c r="G2" s="382" t="s">
        <v>28</v>
      </c>
      <c r="H2" s="382" t="s">
        <v>28</v>
      </c>
      <c r="I2" s="382" t="s">
        <v>28</v>
      </c>
      <c r="J2" s="382" t="s">
        <v>28</v>
      </c>
      <c r="K2" s="382" t="s">
        <v>28</v>
      </c>
    </row>
    <row r="3" spans="1:12" s="383" customFormat="1" ht="36">
      <c r="B3" s="184" t="s">
        <v>423</v>
      </c>
      <c r="C3" s="184" t="s">
        <v>424</v>
      </c>
      <c r="D3" s="184" t="s">
        <v>425</v>
      </c>
      <c r="E3" s="184" t="s">
        <v>426</v>
      </c>
      <c r="F3" s="184" t="s">
        <v>427</v>
      </c>
      <c r="G3" s="184" t="s">
        <v>423</v>
      </c>
      <c r="H3" s="184" t="s">
        <v>424</v>
      </c>
      <c r="I3" s="184" t="s">
        <v>425</v>
      </c>
      <c r="J3" s="184" t="s">
        <v>426</v>
      </c>
      <c r="K3" s="184" t="s">
        <v>427</v>
      </c>
    </row>
    <row r="4" spans="1:12">
      <c r="A4" s="187" t="s">
        <v>154</v>
      </c>
    </row>
    <row r="5" spans="1:12">
      <c r="A5" s="234" t="s">
        <v>155</v>
      </c>
      <c r="B5" s="185">
        <f>'7b. Activity Phasing'!C12</f>
        <v>1554</v>
      </c>
      <c r="C5" s="185">
        <f>'7b. Activity Phasing'!D12</f>
        <v>1568.6000000000001</v>
      </c>
      <c r="D5" s="185">
        <f>'7b. Activity Phasing'!E12</f>
        <v>1592</v>
      </c>
      <c r="E5" s="185">
        <f>'7b. Activity Phasing'!F12</f>
        <v>1617</v>
      </c>
      <c r="F5" s="185">
        <f>'7b. Activity Phasing'!G12</f>
        <v>1641</v>
      </c>
      <c r="G5" s="185">
        <f>B5*-$D$29</f>
        <v>-1305693.2274968792</v>
      </c>
      <c r="H5" s="185">
        <f>(C5*-$D$29)*1.022</f>
        <v>-1346955.4860861907</v>
      </c>
      <c r="I5" s="185">
        <f>(D5*-$D$29)*1.044</f>
        <v>-1396476.7164573574</v>
      </c>
      <c r="J5" s="185">
        <f>(E5*-$D$29)*1.066</f>
        <v>-1448296.1013432276</v>
      </c>
      <c r="K5" s="185">
        <f>(F5*-$D$29)*1.088</f>
        <v>-1500125.5688022836</v>
      </c>
      <c r="L5" s="234" t="s">
        <v>449</v>
      </c>
    </row>
    <row r="6" spans="1:12">
      <c r="A6" s="234" t="s">
        <v>156</v>
      </c>
      <c r="B6" s="185">
        <f>'7b. Activity Phasing'!C17-'7b. Activity Phasing'!C12</f>
        <v>2486</v>
      </c>
      <c r="C6" s="185">
        <f>'7b. Activity Phasing'!D17-'7b. Activity Phasing'!D12</f>
        <v>4226.3999999999996</v>
      </c>
      <c r="D6" s="185">
        <f>'7b. Activity Phasing'!E17-'7b. Activity Phasing'!E12</f>
        <v>4290</v>
      </c>
      <c r="E6" s="185">
        <f>'7b. Activity Phasing'!F17-'7b. Activity Phasing'!F12</f>
        <v>4357</v>
      </c>
      <c r="F6" s="185">
        <f>'7b. Activity Phasing'!G17-'7b. Activity Phasing'!G12</f>
        <v>4422</v>
      </c>
      <c r="G6" s="185">
        <f>B6*-$D$28</f>
        <v>-16370784.173953624</v>
      </c>
      <c r="H6" s="185">
        <f>(C6*-$D$28)*1.022</f>
        <v>-28443946.436813813</v>
      </c>
      <c r="I6" s="185">
        <f>(D6*-$D$28)*1.044</f>
        <v>-29493488.868437871</v>
      </c>
      <c r="J6" s="185">
        <f>(E6*-$D$28)*1.066</f>
        <v>-30585326.663132101</v>
      </c>
      <c r="K6" s="185">
        <f>(F6*-$D$28)*1.088</f>
        <v>-31682248.225075845</v>
      </c>
      <c r="L6" s="234" t="s">
        <v>449</v>
      </c>
    </row>
    <row r="7" spans="1:12">
      <c r="A7" s="234" t="s">
        <v>157</v>
      </c>
      <c r="B7" s="185">
        <f>('7b. Activity Phasing'!C11+'7b. Activity Phasing'!C12)+(SUM('7b. Activity Phasing'!C13:C16)*0.1)</f>
        <v>3122</v>
      </c>
      <c r="C7" s="185">
        <f>('7b. Activity Phasing'!D11+'7b. Activity Phasing'!D12)+(SUM('7b. Activity Phasing'!D13:D16)*0.1)</f>
        <v>3322.7700000000004</v>
      </c>
      <c r="D7" s="185">
        <f>('7b. Activity Phasing'!E11+'7b. Activity Phasing'!E12)+(SUM('7b. Activity Phasing'!E13:E16)*0.1)</f>
        <v>3372.8</v>
      </c>
      <c r="E7" s="185">
        <f>('7b. Activity Phasing'!F11+'7b. Activity Phasing'!F12)+(SUM('7b. Activity Phasing'!F13:F16)*0.1)</f>
        <v>3425.2</v>
      </c>
      <c r="F7" s="185">
        <f>('7b. Activity Phasing'!G11+'7b. Activity Phasing'!G12)+(SUM('7b. Activity Phasing'!G13:G16)*0.1)</f>
        <v>3476.4</v>
      </c>
      <c r="G7" s="185">
        <f>B7*-99.93</f>
        <v>-311981.46000000002</v>
      </c>
      <c r="H7" s="185">
        <f t="shared" ref="H7:K7" si="0">C7*-99.93</f>
        <v>-332044.40610000008</v>
      </c>
      <c r="I7" s="185">
        <f t="shared" si="0"/>
        <v>-337043.90400000004</v>
      </c>
      <c r="J7" s="185">
        <f t="shared" si="0"/>
        <v>-342280.23600000003</v>
      </c>
      <c r="K7" s="185">
        <f t="shared" si="0"/>
        <v>-347396.65200000006</v>
      </c>
      <c r="L7" s="234" t="s">
        <v>158</v>
      </c>
    </row>
    <row r="8" spans="1:12">
      <c r="A8" s="234" t="s">
        <v>159</v>
      </c>
      <c r="B8" s="185">
        <f>B6*0.15</f>
        <v>372.9</v>
      </c>
      <c r="C8" s="185">
        <f t="shared" ref="C8:F8" si="1">C6*0.15</f>
        <v>633.95999999999992</v>
      </c>
      <c r="D8" s="185">
        <f t="shared" si="1"/>
        <v>643.5</v>
      </c>
      <c r="E8" s="185">
        <f t="shared" si="1"/>
        <v>653.54999999999995</v>
      </c>
      <c r="F8" s="185">
        <f t="shared" si="1"/>
        <v>663.3</v>
      </c>
      <c r="G8" s="185">
        <f>-980.7*B8</f>
        <v>-365703.02999999997</v>
      </c>
      <c r="H8" s="185">
        <f>-980.7*C8</f>
        <v>-621724.57199999993</v>
      </c>
      <c r="I8" s="185">
        <f>-980.7*D8</f>
        <v>-631080.45000000007</v>
      </c>
      <c r="J8" s="185">
        <f>-980.7*E8</f>
        <v>-640936.48499999999</v>
      </c>
      <c r="K8" s="185">
        <f>-980.7*F8</f>
        <v>-650498.30999999994</v>
      </c>
      <c r="L8" s="234" t="s">
        <v>160</v>
      </c>
    </row>
    <row r="9" spans="1:12">
      <c r="A9" s="234" t="s">
        <v>161</v>
      </c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234" t="s">
        <v>450</v>
      </c>
    </row>
    <row r="10" spans="1:12">
      <c r="A10" s="234" t="s">
        <v>162</v>
      </c>
      <c r="B10" s="185"/>
      <c r="C10" s="185"/>
      <c r="D10" s="185"/>
      <c r="E10" s="185"/>
      <c r="F10" s="185"/>
      <c r="G10" s="185">
        <f>-'4. Revenue'!I44*2.3%*1000</f>
        <v>-8073.3514404383459</v>
      </c>
      <c r="H10" s="185">
        <f>-'4. Revenue'!J44*2.3%*1000</f>
        <v>-12211.107425510496</v>
      </c>
      <c r="I10" s="185">
        <f>-'4. Revenue'!K44*2.3%*1000</f>
        <v>-12703.215054758572</v>
      </c>
      <c r="J10" s="185">
        <f>-'4. Revenue'!L44*2.3%*1000</f>
        <v>-13259.641280587108</v>
      </c>
      <c r="K10" s="185">
        <f>-'4. Revenue'!M44*2.3%*1000</f>
        <v>-13836.342858803682</v>
      </c>
    </row>
    <row r="11" spans="1:12">
      <c r="A11" s="187" t="s">
        <v>163</v>
      </c>
      <c r="B11" s="186">
        <f t="shared" ref="B11:K11" si="2">SUM(B5:B10)</f>
        <v>7534.9</v>
      </c>
      <c r="C11" s="186">
        <f t="shared" si="2"/>
        <v>9751.73</v>
      </c>
      <c r="D11" s="186">
        <f t="shared" si="2"/>
        <v>9898.2999999999993</v>
      </c>
      <c r="E11" s="186">
        <f t="shared" si="2"/>
        <v>10052.75</v>
      </c>
      <c r="F11" s="186">
        <f t="shared" si="2"/>
        <v>10202.699999999999</v>
      </c>
      <c r="G11" s="186">
        <f>SUM(G5:G10)</f>
        <v>-18362235.242890943</v>
      </c>
      <c r="H11" s="186">
        <f t="shared" si="2"/>
        <v>-30756882.008425515</v>
      </c>
      <c r="I11" s="186">
        <f t="shared" si="2"/>
        <v>-31870793.153949983</v>
      </c>
      <c r="J11" s="186">
        <f t="shared" si="2"/>
        <v>-33030099.126755919</v>
      </c>
      <c r="K11" s="186">
        <f t="shared" si="2"/>
        <v>-34194105.098736934</v>
      </c>
    </row>
    <row r="12" spans="1:12">
      <c r="A12" s="234" t="s">
        <v>164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</row>
    <row r="13" spans="1:12">
      <c r="A13" s="187" t="s">
        <v>165</v>
      </c>
      <c r="B13" s="186">
        <f t="shared" ref="B13:K13" si="3">SUM(B12:B12)</f>
        <v>0</v>
      </c>
      <c r="C13" s="186">
        <f t="shared" si="3"/>
        <v>0</v>
      </c>
      <c r="D13" s="186">
        <f t="shared" si="3"/>
        <v>0</v>
      </c>
      <c r="E13" s="186">
        <f t="shared" si="3"/>
        <v>0</v>
      </c>
      <c r="F13" s="186">
        <f t="shared" si="3"/>
        <v>0</v>
      </c>
      <c r="G13" s="186">
        <f t="shared" si="3"/>
        <v>0</v>
      </c>
      <c r="H13" s="186">
        <f t="shared" si="3"/>
        <v>0</v>
      </c>
      <c r="I13" s="186">
        <f t="shared" si="3"/>
        <v>0</v>
      </c>
      <c r="J13" s="186">
        <f t="shared" si="3"/>
        <v>0</v>
      </c>
      <c r="K13" s="186">
        <f t="shared" si="3"/>
        <v>0</v>
      </c>
    </row>
    <row r="14" spans="1:12">
      <c r="A14" s="187" t="s">
        <v>5</v>
      </c>
      <c r="B14" s="186">
        <f t="shared" ref="B14:K14" si="4">B11+B13</f>
        <v>7534.9</v>
      </c>
      <c r="C14" s="186">
        <f t="shared" si="4"/>
        <v>9751.73</v>
      </c>
      <c r="D14" s="186">
        <f t="shared" si="4"/>
        <v>9898.2999999999993</v>
      </c>
      <c r="E14" s="186">
        <f t="shared" si="4"/>
        <v>10052.75</v>
      </c>
      <c r="F14" s="186">
        <f t="shared" si="4"/>
        <v>10202.699999999999</v>
      </c>
      <c r="G14" s="186">
        <f t="shared" si="4"/>
        <v>-18362235.242890943</v>
      </c>
      <c r="H14" s="186">
        <f t="shared" si="4"/>
        <v>-30756882.008425515</v>
      </c>
      <c r="I14" s="186">
        <f t="shared" si="4"/>
        <v>-31870793.153949983</v>
      </c>
      <c r="J14" s="186">
        <f t="shared" si="4"/>
        <v>-33030099.126755919</v>
      </c>
      <c r="K14" s="186">
        <f t="shared" si="4"/>
        <v>-34194105.098736934</v>
      </c>
    </row>
    <row r="17" spans="1:9" ht="12" thickBot="1"/>
    <row r="18" spans="1:9">
      <c r="A18" s="385"/>
      <c r="B18" s="385"/>
      <c r="C18" s="385"/>
      <c r="D18" s="385"/>
      <c r="E18" s="486" t="s">
        <v>451</v>
      </c>
      <c r="F18" s="487"/>
      <c r="G18" s="487"/>
      <c r="H18" s="488"/>
    </row>
    <row r="19" spans="1:9" ht="36">
      <c r="A19" s="386" t="s">
        <v>452</v>
      </c>
      <c r="B19" s="386" t="s">
        <v>453</v>
      </c>
      <c r="C19" s="386" t="s">
        <v>454</v>
      </c>
      <c r="D19" s="386"/>
      <c r="E19" s="386" t="s">
        <v>455</v>
      </c>
      <c r="F19" s="386" t="s">
        <v>456</v>
      </c>
      <c r="G19" s="386" t="s">
        <v>166</v>
      </c>
      <c r="H19" s="386" t="s">
        <v>167</v>
      </c>
    </row>
    <row r="20" spans="1:9">
      <c r="A20" s="387" t="s">
        <v>457</v>
      </c>
      <c r="B20" s="388" t="s">
        <v>168</v>
      </c>
      <c r="C20" s="389">
        <v>1.2320709999999999</v>
      </c>
      <c r="D20" s="389"/>
      <c r="E20" s="389">
        <v>1.2164090000000001</v>
      </c>
      <c r="F20" s="389">
        <v>1.2007460000000001</v>
      </c>
      <c r="G20" s="389">
        <v>1.1850830000000001</v>
      </c>
      <c r="H20" s="389">
        <v>1.1694199999999999</v>
      </c>
    </row>
    <row r="21" spans="1:9">
      <c r="A21" s="387" t="s">
        <v>458</v>
      </c>
      <c r="B21" s="388" t="s">
        <v>169</v>
      </c>
      <c r="C21" s="389">
        <v>1.2268220000000001</v>
      </c>
      <c r="D21" s="389"/>
      <c r="E21" s="389">
        <v>1.211919</v>
      </c>
      <c r="F21" s="389">
        <v>1.1970160000000001</v>
      </c>
      <c r="G21" s="389">
        <v>1.182113</v>
      </c>
      <c r="H21" s="389">
        <v>1.1672100000000001</v>
      </c>
    </row>
    <row r="22" spans="1:9">
      <c r="A22" s="387" t="s">
        <v>459</v>
      </c>
      <c r="B22" s="388" t="s">
        <v>170</v>
      </c>
      <c r="C22" s="389">
        <v>1.1861820000000001</v>
      </c>
      <c r="D22" s="389"/>
      <c r="E22" s="389">
        <v>1.1764870000000001</v>
      </c>
      <c r="F22" s="389">
        <v>1.166793</v>
      </c>
      <c r="G22" s="389">
        <v>1.157098</v>
      </c>
      <c r="H22" s="389">
        <v>1.1474040000000001</v>
      </c>
      <c r="I22" s="390">
        <f>C22-H22</f>
        <v>3.8777999999999979E-2</v>
      </c>
    </row>
    <row r="23" spans="1:9">
      <c r="A23" s="387" t="s">
        <v>460</v>
      </c>
      <c r="B23" s="388" t="s">
        <v>171</v>
      </c>
      <c r="C23" s="389">
        <v>1.1737359999999999</v>
      </c>
      <c r="D23" s="389"/>
      <c r="E23" s="389">
        <v>1.164426</v>
      </c>
      <c r="F23" s="389">
        <v>1.155116</v>
      </c>
      <c r="G23" s="389">
        <v>1.1458060000000001</v>
      </c>
      <c r="H23" s="389">
        <v>1.136496</v>
      </c>
    </row>
    <row r="26" spans="1:9">
      <c r="A26" s="187" t="s">
        <v>461</v>
      </c>
    </row>
    <row r="27" spans="1:9" ht="36">
      <c r="B27" s="184" t="s">
        <v>462</v>
      </c>
      <c r="C27" s="184" t="s">
        <v>463</v>
      </c>
      <c r="D27" s="184" t="s">
        <v>464</v>
      </c>
    </row>
    <row r="28" spans="1:9" ht="12">
      <c r="A28" s="172" t="s">
        <v>465</v>
      </c>
      <c r="B28" s="391">
        <f>'7c. Validated Activity &amp; £'!B2</f>
        <v>6296.74</v>
      </c>
      <c r="C28" s="391">
        <f>B28*(1-$I$22)</f>
        <v>6052.5650162800002</v>
      </c>
      <c r="D28" s="392">
        <f>C28*(1+(0.022*4))</f>
        <v>6585.1907377126408</v>
      </c>
    </row>
    <row r="29" spans="1:9" ht="12">
      <c r="A29" s="172" t="s">
        <v>466</v>
      </c>
      <c r="B29" s="391">
        <f>'7c. Validated Activity &amp; £'!B3</f>
        <v>803.41056682492695</v>
      </c>
      <c r="C29" s="391">
        <f>B29*(1-$I$22)</f>
        <v>772.25591186458996</v>
      </c>
      <c r="D29" s="392">
        <f>C29*(1+(0.022*4))</f>
        <v>840.21443210867392</v>
      </c>
    </row>
  </sheetData>
  <mergeCells count="3">
    <mergeCell ref="B1:F1"/>
    <mergeCell ref="G1:K1"/>
    <mergeCell ref="E18:H1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5CE7-F051-4686-98A1-CF51D6B71E04}">
  <dimension ref="A1:I29"/>
  <sheetViews>
    <sheetView workbookViewId="0">
      <selection activeCell="L15" sqref="L12:L15"/>
    </sheetView>
  </sheetViews>
  <sheetFormatPr baseColWidth="10" defaultColWidth="9.1640625" defaultRowHeight="15"/>
  <cols>
    <col min="1" max="1" width="16.1640625" style="149" customWidth="1"/>
    <col min="2" max="9" width="13.33203125" style="149" customWidth="1"/>
    <col min="10" max="10" width="9.1640625" style="149"/>
    <col min="11" max="12" width="14.5" style="149" customWidth="1"/>
    <col min="13" max="16384" width="9.1640625" style="149"/>
  </cols>
  <sheetData>
    <row r="1" spans="1:9" ht="65">
      <c r="A1" s="393" t="s">
        <v>467</v>
      </c>
      <c r="B1" s="170" t="s">
        <v>468</v>
      </c>
      <c r="C1" s="170" t="s">
        <v>423</v>
      </c>
      <c r="D1" s="170" t="s">
        <v>424</v>
      </c>
      <c r="E1" s="170" t="s">
        <v>425</v>
      </c>
      <c r="F1" s="170" t="s">
        <v>426</v>
      </c>
      <c r="G1" s="170" t="s">
        <v>427</v>
      </c>
      <c r="H1" s="170" t="s">
        <v>469</v>
      </c>
      <c r="I1" s="170" t="s">
        <v>470</v>
      </c>
    </row>
    <row r="2" spans="1:9">
      <c r="A2" s="172" t="s">
        <v>465</v>
      </c>
      <c r="B2" s="273">
        <v>1345</v>
      </c>
      <c r="C2" s="273">
        <f>ROUND((B2*1.09),0)</f>
        <v>1466</v>
      </c>
      <c r="D2" s="273">
        <f>B2*1.1</f>
        <v>1479.5000000000002</v>
      </c>
      <c r="E2" s="273">
        <f t="shared" ref="E2:E7" si="0">ROUND(($B2*$B$24),0)</f>
        <v>1502</v>
      </c>
      <c r="F2" s="273">
        <f t="shared" ref="F2:F7" si="1">ROUND(($B2*$B$25),0)</f>
        <v>1525</v>
      </c>
      <c r="G2" s="273">
        <f t="shared" ref="G2:G7" si="2">ROUND(($B2*$B$26),0)</f>
        <v>1548</v>
      </c>
      <c r="H2" s="273">
        <f t="shared" ref="H2:H7" si="3">ROUND(($B2*$B$27),0)</f>
        <v>1571</v>
      </c>
      <c r="I2" s="273">
        <f t="shared" ref="I2:I7" si="4">ROUND(($B2*$B$28),0)</f>
        <v>1593</v>
      </c>
    </row>
    <row r="3" spans="1:9">
      <c r="A3" s="172" t="s">
        <v>466</v>
      </c>
      <c r="B3" s="273">
        <v>1426</v>
      </c>
      <c r="C3" s="273">
        <f t="shared" ref="C3:C7" si="5">ROUND((B3*1.09),0)</f>
        <v>1554</v>
      </c>
      <c r="D3" s="273">
        <f t="shared" ref="D3:D7" si="6">B3*1.1</f>
        <v>1568.6000000000001</v>
      </c>
      <c r="E3" s="273">
        <f t="shared" si="0"/>
        <v>1592</v>
      </c>
      <c r="F3" s="273">
        <f t="shared" si="1"/>
        <v>1617</v>
      </c>
      <c r="G3" s="273">
        <f t="shared" si="2"/>
        <v>1641</v>
      </c>
      <c r="H3" s="273">
        <f t="shared" si="3"/>
        <v>1665</v>
      </c>
      <c r="I3" s="273">
        <f t="shared" si="4"/>
        <v>1689</v>
      </c>
    </row>
    <row r="4" spans="1:9">
      <c r="A4" s="172" t="s">
        <v>471</v>
      </c>
      <c r="B4" s="273">
        <f>1076-253</f>
        <v>823</v>
      </c>
      <c r="C4" s="273">
        <f t="shared" si="5"/>
        <v>897</v>
      </c>
      <c r="D4" s="273">
        <f t="shared" si="6"/>
        <v>905.30000000000007</v>
      </c>
      <c r="E4" s="273">
        <f t="shared" si="0"/>
        <v>919</v>
      </c>
      <c r="F4" s="273">
        <f t="shared" si="1"/>
        <v>933</v>
      </c>
      <c r="G4" s="273">
        <f t="shared" si="2"/>
        <v>947</v>
      </c>
      <c r="H4" s="273">
        <f t="shared" si="3"/>
        <v>961</v>
      </c>
      <c r="I4" s="273">
        <f t="shared" si="4"/>
        <v>975</v>
      </c>
    </row>
    <row r="5" spans="1:9">
      <c r="A5" s="172" t="s">
        <v>472</v>
      </c>
      <c r="B5" s="273">
        <v>744</v>
      </c>
      <c r="C5" s="273">
        <f t="shared" si="5"/>
        <v>811</v>
      </c>
      <c r="D5" s="273">
        <f t="shared" si="6"/>
        <v>818.40000000000009</v>
      </c>
      <c r="E5" s="273">
        <f t="shared" si="0"/>
        <v>831</v>
      </c>
      <c r="F5" s="273">
        <f t="shared" si="1"/>
        <v>844</v>
      </c>
      <c r="G5" s="273">
        <f t="shared" si="2"/>
        <v>856</v>
      </c>
      <c r="H5" s="273">
        <f t="shared" si="3"/>
        <v>869</v>
      </c>
      <c r="I5" s="273">
        <f t="shared" si="4"/>
        <v>881</v>
      </c>
    </row>
    <row r="6" spans="1:9">
      <c r="A6" s="172" t="s">
        <v>473</v>
      </c>
      <c r="B6" s="273">
        <v>653</v>
      </c>
      <c r="C6" s="273">
        <f t="shared" si="5"/>
        <v>712</v>
      </c>
      <c r="D6" s="273">
        <f t="shared" si="6"/>
        <v>718.30000000000007</v>
      </c>
      <c r="E6" s="273">
        <f t="shared" si="0"/>
        <v>729</v>
      </c>
      <c r="F6" s="273">
        <f t="shared" si="1"/>
        <v>741</v>
      </c>
      <c r="G6" s="273">
        <f t="shared" si="2"/>
        <v>752</v>
      </c>
      <c r="H6" s="273">
        <f t="shared" si="3"/>
        <v>763</v>
      </c>
      <c r="I6" s="273">
        <f t="shared" si="4"/>
        <v>773</v>
      </c>
    </row>
    <row r="7" spans="1:9">
      <c r="A7" s="172" t="s">
        <v>474</v>
      </c>
      <c r="B7" s="273">
        <f>B8-SUM(B2:B6)</f>
        <v>277</v>
      </c>
      <c r="C7" s="273">
        <f t="shared" si="5"/>
        <v>302</v>
      </c>
      <c r="D7" s="273">
        <f t="shared" si="6"/>
        <v>304.70000000000005</v>
      </c>
      <c r="E7" s="273">
        <f t="shared" si="0"/>
        <v>309</v>
      </c>
      <c r="F7" s="273">
        <f t="shared" si="1"/>
        <v>314</v>
      </c>
      <c r="G7" s="273">
        <f t="shared" si="2"/>
        <v>319</v>
      </c>
      <c r="H7" s="273">
        <f t="shared" si="3"/>
        <v>323</v>
      </c>
      <c r="I7" s="273">
        <f t="shared" si="4"/>
        <v>328</v>
      </c>
    </row>
    <row r="8" spans="1:9" s="183" customFormat="1">
      <c r="A8" s="173" t="s">
        <v>439</v>
      </c>
      <c r="B8" s="394">
        <f>ROUND((D8/1.1),0)</f>
        <v>5268</v>
      </c>
      <c r="C8" s="394">
        <f>SUM(C2:C7)</f>
        <v>5742</v>
      </c>
      <c r="D8" s="394">
        <v>5795</v>
      </c>
      <c r="E8" s="394">
        <f>SUM(E2:E7)</f>
        <v>5882</v>
      </c>
      <c r="F8" s="394">
        <f>SUM(F2:F7)</f>
        <v>5974</v>
      </c>
      <c r="G8" s="394">
        <f>SUM(G2:G7)</f>
        <v>6063</v>
      </c>
      <c r="H8" s="394">
        <f>SUM(H2:H7)</f>
        <v>6152</v>
      </c>
      <c r="I8" s="394">
        <f>SUM(I2:I7)</f>
        <v>6239</v>
      </c>
    </row>
    <row r="10" spans="1:9" ht="65">
      <c r="A10" s="170" t="s">
        <v>475</v>
      </c>
      <c r="B10" s="170" t="s">
        <v>468</v>
      </c>
      <c r="C10" s="170" t="s">
        <v>476</v>
      </c>
      <c r="D10" s="170" t="s">
        <v>424</v>
      </c>
      <c r="E10" s="170" t="s">
        <v>425</v>
      </c>
      <c r="F10" s="170" t="s">
        <v>426</v>
      </c>
      <c r="G10" s="170" t="s">
        <v>427</v>
      </c>
      <c r="H10" s="170" t="s">
        <v>469</v>
      </c>
      <c r="I10" s="170" t="s">
        <v>470</v>
      </c>
    </row>
    <row r="11" spans="1:9">
      <c r="A11" s="172" t="s">
        <v>465</v>
      </c>
      <c r="B11" s="273">
        <v>1345</v>
      </c>
      <c r="C11" s="273">
        <f>ROUND((B11*1.09),0)</f>
        <v>1466</v>
      </c>
      <c r="D11" s="273">
        <f>B11*1.1</f>
        <v>1479.5000000000002</v>
      </c>
      <c r="E11" s="273">
        <f t="shared" ref="E11:E16" si="7">ROUND(($B11*$B$24),0)</f>
        <v>1502</v>
      </c>
      <c r="F11" s="273">
        <f t="shared" ref="F11:F16" si="8">ROUND(($B11*$B$25),0)</f>
        <v>1525</v>
      </c>
      <c r="G11" s="273">
        <f t="shared" ref="G11:G16" si="9">ROUND(($B11*$B$26),0)</f>
        <v>1548</v>
      </c>
      <c r="H11" s="273">
        <f t="shared" ref="H11:H16" si="10">ROUND(($B11*$B$27),0)</f>
        <v>1571</v>
      </c>
      <c r="I11" s="273">
        <f t="shared" ref="I11:I16" si="11">ROUND(($B11*$B$28),0)</f>
        <v>1593</v>
      </c>
    </row>
    <row r="12" spans="1:9">
      <c r="A12" s="172" t="s">
        <v>466</v>
      </c>
      <c r="B12" s="273">
        <v>1426</v>
      </c>
      <c r="C12" s="273">
        <f t="shared" ref="C12" si="12">ROUND((B12*1.09),0)</f>
        <v>1554</v>
      </c>
      <c r="D12" s="273">
        <f t="shared" ref="D12:D16" si="13">B12*1.1</f>
        <v>1568.6000000000001</v>
      </c>
      <c r="E12" s="273">
        <f t="shared" si="7"/>
        <v>1592</v>
      </c>
      <c r="F12" s="273">
        <f t="shared" si="8"/>
        <v>1617</v>
      </c>
      <c r="G12" s="273">
        <f t="shared" si="9"/>
        <v>1641</v>
      </c>
      <c r="H12" s="273">
        <f t="shared" si="10"/>
        <v>1665</v>
      </c>
      <c r="I12" s="273">
        <f t="shared" si="11"/>
        <v>1689</v>
      </c>
    </row>
    <row r="13" spans="1:9">
      <c r="A13" s="172" t="s">
        <v>471</v>
      </c>
      <c r="B13" s="273">
        <f>1076-253</f>
        <v>823</v>
      </c>
      <c r="C13" s="273">
        <f>ROUND(((B13*1.09)*(4.5/12)),0)</f>
        <v>336</v>
      </c>
      <c r="D13" s="273">
        <f t="shared" si="13"/>
        <v>905.30000000000007</v>
      </c>
      <c r="E13" s="273">
        <f t="shared" si="7"/>
        <v>919</v>
      </c>
      <c r="F13" s="273">
        <f t="shared" si="8"/>
        <v>933</v>
      </c>
      <c r="G13" s="273">
        <f t="shared" si="9"/>
        <v>947</v>
      </c>
      <c r="H13" s="273">
        <f t="shared" si="10"/>
        <v>961</v>
      </c>
      <c r="I13" s="273">
        <f t="shared" si="11"/>
        <v>975</v>
      </c>
    </row>
    <row r="14" spans="1:9">
      <c r="A14" s="172" t="s">
        <v>472</v>
      </c>
      <c r="B14" s="273">
        <v>744</v>
      </c>
      <c r="C14" s="273">
        <f>ROUND(((B14*1.09)*(4.5/12)),0)</f>
        <v>304</v>
      </c>
      <c r="D14" s="273">
        <f t="shared" si="13"/>
        <v>818.40000000000009</v>
      </c>
      <c r="E14" s="273">
        <f t="shared" si="7"/>
        <v>831</v>
      </c>
      <c r="F14" s="273">
        <f t="shared" si="8"/>
        <v>844</v>
      </c>
      <c r="G14" s="273">
        <f t="shared" si="9"/>
        <v>856</v>
      </c>
      <c r="H14" s="273">
        <f t="shared" si="10"/>
        <v>869</v>
      </c>
      <c r="I14" s="273">
        <f t="shared" si="11"/>
        <v>881</v>
      </c>
    </row>
    <row r="15" spans="1:9">
      <c r="A15" s="172" t="s">
        <v>473</v>
      </c>
      <c r="B15" s="273">
        <v>653</v>
      </c>
      <c r="C15" s="273">
        <f>ROUND(((B15*1.09)*(4.5/12)),0)</f>
        <v>267</v>
      </c>
      <c r="D15" s="273">
        <f t="shared" si="13"/>
        <v>718.30000000000007</v>
      </c>
      <c r="E15" s="273">
        <f t="shared" si="7"/>
        <v>729</v>
      </c>
      <c r="F15" s="273">
        <f t="shared" si="8"/>
        <v>741</v>
      </c>
      <c r="G15" s="273">
        <f t="shared" si="9"/>
        <v>752</v>
      </c>
      <c r="H15" s="273">
        <f t="shared" si="10"/>
        <v>763</v>
      </c>
      <c r="I15" s="273">
        <f t="shared" si="11"/>
        <v>773</v>
      </c>
    </row>
    <row r="16" spans="1:9">
      <c r="A16" s="172" t="s">
        <v>474</v>
      </c>
      <c r="B16" s="273">
        <f>B17-SUM(B11:B15)</f>
        <v>277</v>
      </c>
      <c r="C16" s="273">
        <f>ROUND(((B16*1.09)*(4.5/12)),0)</f>
        <v>113</v>
      </c>
      <c r="D16" s="273">
        <f t="shared" si="13"/>
        <v>304.70000000000005</v>
      </c>
      <c r="E16" s="273">
        <f t="shared" si="7"/>
        <v>309</v>
      </c>
      <c r="F16" s="273">
        <f t="shared" si="8"/>
        <v>314</v>
      </c>
      <c r="G16" s="273">
        <f t="shared" si="9"/>
        <v>319</v>
      </c>
      <c r="H16" s="273">
        <f t="shared" si="10"/>
        <v>323</v>
      </c>
      <c r="I16" s="273">
        <f t="shared" si="11"/>
        <v>328</v>
      </c>
    </row>
    <row r="17" spans="1:9">
      <c r="A17" s="173" t="s">
        <v>439</v>
      </c>
      <c r="B17" s="394">
        <f>ROUND((D17/1.1),0)</f>
        <v>5268</v>
      </c>
      <c r="C17" s="394">
        <f>SUM(C11:C16)</f>
        <v>4040</v>
      </c>
      <c r="D17" s="394">
        <v>5795</v>
      </c>
      <c r="E17" s="394">
        <f>SUM(E11:E16)</f>
        <v>5882</v>
      </c>
      <c r="F17" s="394">
        <f>SUM(F11:F16)</f>
        <v>5974</v>
      </c>
      <c r="G17" s="394">
        <f>SUM(G11:G16)</f>
        <v>6063</v>
      </c>
      <c r="H17" s="394">
        <f>SUM(H11:H16)</f>
        <v>6152</v>
      </c>
      <c r="I17" s="394">
        <f>SUM(I11:I16)</f>
        <v>6239</v>
      </c>
    </row>
    <row r="19" spans="1:9">
      <c r="A19" s="158" t="s">
        <v>172</v>
      </c>
      <c r="B19" s="159" t="s">
        <v>173</v>
      </c>
    </row>
    <row r="20" spans="1:9">
      <c r="A20" s="150">
        <v>2021</v>
      </c>
      <c r="B20" s="160">
        <v>1.0385233199999999</v>
      </c>
    </row>
    <row r="21" spans="1:9">
      <c r="A21" s="150">
        <v>2022</v>
      </c>
      <c r="B21" s="160">
        <v>1.0588487200000001</v>
      </c>
    </row>
    <row r="22" spans="1:9">
      <c r="A22" s="150">
        <v>2023</v>
      </c>
      <c r="B22" s="160">
        <v>1.0790000799999999</v>
      </c>
    </row>
    <row r="23" spans="1:9">
      <c r="A23" s="150">
        <v>2024</v>
      </c>
      <c r="B23" s="160">
        <v>1.0881535200000001</v>
      </c>
    </row>
    <row r="24" spans="1:9">
      <c r="A24" s="150">
        <v>2025</v>
      </c>
      <c r="B24" s="160">
        <v>1.11646194</v>
      </c>
    </row>
    <row r="25" spans="1:9">
      <c r="A25" s="150">
        <v>2026</v>
      </c>
      <c r="B25" s="160">
        <v>1.1340370900000001</v>
      </c>
    </row>
    <row r="26" spans="1:9">
      <c r="A26" s="150">
        <v>2027</v>
      </c>
      <c r="B26" s="160">
        <v>1.1509098799999999</v>
      </c>
    </row>
    <row r="27" spans="1:9">
      <c r="A27" s="150">
        <v>2028</v>
      </c>
      <c r="B27" s="160">
        <v>1.16773331</v>
      </c>
    </row>
    <row r="28" spans="1:9">
      <c r="A28" s="150">
        <v>2029</v>
      </c>
      <c r="B28" s="160">
        <v>1.1842640200000001</v>
      </c>
    </row>
    <row r="29" spans="1:9">
      <c r="A29" s="161">
        <v>2030</v>
      </c>
      <c r="B29" s="162">
        <v>1.20200912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2371-9A86-4483-AC6E-A605E1D8617C}">
  <dimension ref="A1:C7"/>
  <sheetViews>
    <sheetView workbookViewId="0">
      <selection activeCell="D12" sqref="D12"/>
    </sheetView>
  </sheetViews>
  <sheetFormatPr baseColWidth="10" defaultColWidth="9.1640625" defaultRowHeight="12"/>
  <cols>
    <col min="1" max="1" width="13.6640625" style="172" bestFit="1" customWidth="1"/>
    <col min="2" max="2" width="10.5" style="172" bestFit="1" customWidth="1"/>
    <col min="3" max="3" width="13.5" style="172" customWidth="1"/>
    <col min="4" max="16384" width="9.1640625" style="172"/>
  </cols>
  <sheetData>
    <row r="1" spans="1:3" ht="39">
      <c r="B1" s="170" t="s">
        <v>477</v>
      </c>
      <c r="C1" s="170" t="s">
        <v>468</v>
      </c>
    </row>
    <row r="2" spans="1:3">
      <c r="A2" s="172" t="s">
        <v>465</v>
      </c>
      <c r="B2" s="395">
        <v>6296.74</v>
      </c>
      <c r="C2" s="273">
        <v>1345</v>
      </c>
    </row>
    <row r="3" spans="1:3">
      <c r="A3" s="172" t="s">
        <v>466</v>
      </c>
      <c r="B3" s="395">
        <v>803.41056682492695</v>
      </c>
      <c r="C3" s="273">
        <v>1426</v>
      </c>
    </row>
    <row r="4" spans="1:3">
      <c r="A4" s="172" t="s">
        <v>471</v>
      </c>
      <c r="B4" s="395">
        <v>7941.0889328100502</v>
      </c>
      <c r="C4" s="273">
        <f>1076-253</f>
        <v>823</v>
      </c>
    </row>
    <row r="5" spans="1:3">
      <c r="A5" s="172" t="s">
        <v>472</v>
      </c>
      <c r="B5" s="395">
        <v>6433.1574180231964</v>
      </c>
      <c r="C5" s="273">
        <v>744</v>
      </c>
    </row>
    <row r="6" spans="1:3">
      <c r="A6" s="172" t="s">
        <v>473</v>
      </c>
      <c r="B6" s="395">
        <v>6460.9727358991877</v>
      </c>
      <c r="C6" s="273">
        <v>653</v>
      </c>
    </row>
    <row r="7" spans="1:3">
      <c r="C7" s="394">
        <f>SUM(C2:C6)</f>
        <v>4991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A4ACE-0023-45CD-8901-B31CE853E80B}">
  <dimension ref="A1:J19"/>
  <sheetViews>
    <sheetView workbookViewId="0">
      <selection activeCell="K15" sqref="K15"/>
    </sheetView>
  </sheetViews>
  <sheetFormatPr baseColWidth="10" defaultColWidth="9.1640625" defaultRowHeight="12"/>
  <cols>
    <col min="1" max="1" width="11.33203125" style="172" customWidth="1"/>
    <col min="2" max="2" width="12.6640625" style="172" customWidth="1"/>
    <col min="3" max="3" width="12.6640625" style="172" hidden="1" customWidth="1"/>
    <col min="4" max="10" width="12.6640625" style="172" customWidth="1"/>
    <col min="11" max="16384" width="9.1640625" style="172"/>
  </cols>
  <sheetData>
    <row r="1" spans="1:10" ht="4.5" customHeight="1" thickBot="1"/>
    <row r="2" spans="1:10" ht="40" thickBot="1">
      <c r="A2" s="356" t="s">
        <v>428</v>
      </c>
      <c r="B2" s="356" t="s">
        <v>429</v>
      </c>
      <c r="C2" s="356" t="s">
        <v>430</v>
      </c>
      <c r="D2" s="356" t="s">
        <v>431</v>
      </c>
      <c r="E2" s="356" t="s">
        <v>432</v>
      </c>
      <c r="F2" s="356" t="s">
        <v>433</v>
      </c>
      <c r="G2" s="356" t="s">
        <v>434</v>
      </c>
      <c r="H2" s="356" t="s">
        <v>435</v>
      </c>
      <c r="I2" s="356" t="s">
        <v>433</v>
      </c>
      <c r="J2" s="356" t="s">
        <v>436</v>
      </c>
    </row>
    <row r="3" spans="1:10" ht="15" thickTop="1" thickBot="1">
      <c r="A3" s="357" t="s">
        <v>220</v>
      </c>
      <c r="B3" s="358">
        <v>6542</v>
      </c>
      <c r="C3" s="358">
        <v>7418</v>
      </c>
      <c r="D3" s="358">
        <v>7641</v>
      </c>
      <c r="E3" s="358">
        <v>304</v>
      </c>
      <c r="F3" s="358">
        <f>$F$8*(E3/SUM($E$3:$E$6))</f>
        <v>12.450888002899601</v>
      </c>
      <c r="G3" s="358">
        <f>E3+F3</f>
        <v>316.4508880028996</v>
      </c>
      <c r="H3" s="358">
        <v>818.40000000000009</v>
      </c>
      <c r="I3" s="358">
        <f>$I$8*(H3/(SUM($H$3:$H$6)))</f>
        <v>63.589565217391311</v>
      </c>
      <c r="J3" s="358">
        <f>H3+I3</f>
        <v>881.98956521739137</v>
      </c>
    </row>
    <row r="4" spans="1:10" ht="14" thickBot="1">
      <c r="A4" s="359" t="s">
        <v>221</v>
      </c>
      <c r="B4" s="360">
        <v>6572</v>
      </c>
      <c r="C4" s="360">
        <v>7131</v>
      </c>
      <c r="D4" s="360">
        <v>7345</v>
      </c>
      <c r="E4" s="360">
        <v>653</v>
      </c>
      <c r="F4" s="360">
        <f>$F$8*(E4/SUM($E$3:$E$6))</f>
        <v>26.744835085175787</v>
      </c>
      <c r="G4" s="360">
        <f>E4+F4</f>
        <v>679.74483508517574</v>
      </c>
      <c r="H4" s="360">
        <v>718.30000000000007</v>
      </c>
      <c r="I4" s="360">
        <f>$I$8*(H4/(SUM($H$3:$H$6)))</f>
        <v>55.811809256661995</v>
      </c>
      <c r="J4" s="360">
        <f>H4+I4</f>
        <v>774.11180925666201</v>
      </c>
    </row>
    <row r="5" spans="1:10" ht="14" thickBot="1">
      <c r="A5" s="361" t="s">
        <v>222</v>
      </c>
      <c r="B5" s="362">
        <v>5594</v>
      </c>
      <c r="C5" s="362">
        <v>6366</v>
      </c>
      <c r="D5" s="362">
        <v>6557</v>
      </c>
      <c r="E5" s="362">
        <v>336</v>
      </c>
      <c r="F5" s="362">
        <f>$F$8*(E5/SUM($E$3:$E$6))</f>
        <v>13.761507792678506</v>
      </c>
      <c r="G5" s="362">
        <f>E5+F5</f>
        <v>349.76150779267851</v>
      </c>
      <c r="H5" s="362">
        <v>905.30000000000007</v>
      </c>
      <c r="I5" s="362">
        <f>$I$8*(H5/(SUM($H$3:$H$6)))</f>
        <v>70.341683029453009</v>
      </c>
      <c r="J5" s="362">
        <f>H5+I5</f>
        <v>975.64168302945313</v>
      </c>
    </row>
    <row r="6" spans="1:10" ht="27" thickBot="1">
      <c r="A6" s="359" t="s">
        <v>437</v>
      </c>
      <c r="B6" s="360">
        <v>6030</v>
      </c>
      <c r="C6" s="360">
        <v>6609</v>
      </c>
      <c r="D6" s="360">
        <v>6807</v>
      </c>
      <c r="E6" s="360">
        <v>1466</v>
      </c>
      <c r="F6" s="360">
        <f>$F$8*(E6/SUM($E$3:$E$6))</f>
        <v>60.04276911924611</v>
      </c>
      <c r="G6" s="360">
        <f>E6+F6</f>
        <v>1526.042769119246</v>
      </c>
      <c r="H6" s="360">
        <v>1479.5000000000002</v>
      </c>
      <c r="I6" s="360">
        <f>$I$8*(H6/(SUM($H$3:$H$6)))</f>
        <v>114.9569424964937</v>
      </c>
      <c r="J6" s="360">
        <f>H6+I6</f>
        <v>1594.4569424964939</v>
      </c>
    </row>
    <row r="7" spans="1:10" ht="14" thickBot="1">
      <c r="A7" s="361" t="s">
        <v>438</v>
      </c>
      <c r="B7" s="362">
        <v>2136</v>
      </c>
      <c r="C7" s="362">
        <v>2341</v>
      </c>
      <c r="D7" s="362">
        <v>2411</v>
      </c>
      <c r="E7" s="362">
        <v>1554</v>
      </c>
      <c r="F7" s="362"/>
      <c r="G7" s="362">
        <f>E7+F7</f>
        <v>1554</v>
      </c>
      <c r="H7" s="362">
        <v>1568.6000000000001</v>
      </c>
      <c r="I7" s="362"/>
      <c r="J7" s="362">
        <f>H7+I7</f>
        <v>1568.6000000000001</v>
      </c>
    </row>
    <row r="8" spans="1:10" s="173" customFormat="1" ht="14" thickBot="1">
      <c r="A8" s="363" t="s">
        <v>439</v>
      </c>
      <c r="B8" s="364"/>
      <c r="C8" s="364"/>
      <c r="D8" s="364"/>
      <c r="E8" s="365">
        <f>SUM(E3:E7)</f>
        <v>4313</v>
      </c>
      <c r="F8" s="365">
        <v>113</v>
      </c>
      <c r="G8" s="365">
        <f>SUM(G3:G7)</f>
        <v>4426</v>
      </c>
      <c r="H8" s="365">
        <f>SUM(H3:H7)</f>
        <v>5490.1000000000013</v>
      </c>
      <c r="I8" s="365">
        <v>304.70000000000005</v>
      </c>
      <c r="J8" s="365">
        <f>SUM(J3:J7)</f>
        <v>5794.8000000000011</v>
      </c>
    </row>
    <row r="10" spans="1:10" ht="13" thickBot="1"/>
    <row r="11" spans="1:10" ht="40" thickBot="1">
      <c r="A11" s="356" t="s">
        <v>428</v>
      </c>
      <c r="B11" s="356" t="s">
        <v>440</v>
      </c>
      <c r="C11" s="356" t="s">
        <v>440</v>
      </c>
      <c r="D11" s="356" t="s">
        <v>432</v>
      </c>
      <c r="E11" s="356" t="s">
        <v>435</v>
      </c>
      <c r="F11" s="356" t="s">
        <v>441</v>
      </c>
      <c r="G11" s="356" t="s">
        <v>442</v>
      </c>
    </row>
    <row r="12" spans="1:10" ht="15" thickTop="1" thickBot="1">
      <c r="A12" s="357" t="s">
        <v>220</v>
      </c>
      <c r="B12" s="366">
        <v>7641</v>
      </c>
      <c r="C12" s="366">
        <f>B12*1.022</f>
        <v>7809.1019999999999</v>
      </c>
      <c r="D12" s="367">
        <f>E3</f>
        <v>304</v>
      </c>
      <c r="E12" s="367">
        <f t="shared" ref="E12:E17" si="0">H3</f>
        <v>818.40000000000009</v>
      </c>
      <c r="F12" s="366">
        <f>D12*B12</f>
        <v>2322864</v>
      </c>
      <c r="G12" s="366">
        <f>E12*B12</f>
        <v>6253394.4000000004</v>
      </c>
    </row>
    <row r="13" spans="1:10" ht="15" thickTop="1" thickBot="1">
      <c r="A13" s="359" t="s">
        <v>221</v>
      </c>
      <c r="B13" s="368">
        <v>7345</v>
      </c>
      <c r="C13" s="366">
        <f t="shared" ref="C13:C16" si="1">B13*1.022</f>
        <v>7506.59</v>
      </c>
      <c r="D13" s="369">
        <f>E4</f>
        <v>653</v>
      </c>
      <c r="E13" s="369">
        <f t="shared" si="0"/>
        <v>718.30000000000007</v>
      </c>
      <c r="F13" s="366">
        <f t="shared" ref="F13:F16" si="2">D13*B13</f>
        <v>4796285</v>
      </c>
      <c r="G13" s="366">
        <f t="shared" ref="G13:G16" si="3">E13*B13</f>
        <v>5275913.5000000009</v>
      </c>
    </row>
    <row r="14" spans="1:10" ht="15" thickTop="1" thickBot="1">
      <c r="A14" s="361" t="s">
        <v>222</v>
      </c>
      <c r="B14" s="370">
        <v>6557</v>
      </c>
      <c r="C14" s="366">
        <f t="shared" si="1"/>
        <v>6701.2539999999999</v>
      </c>
      <c r="D14" s="371">
        <f>E5</f>
        <v>336</v>
      </c>
      <c r="E14" s="371">
        <f t="shared" si="0"/>
        <v>905.30000000000007</v>
      </c>
      <c r="F14" s="366">
        <f t="shared" si="2"/>
        <v>2203152</v>
      </c>
      <c r="G14" s="366">
        <f t="shared" si="3"/>
        <v>5936052.1000000006</v>
      </c>
    </row>
    <row r="15" spans="1:10" ht="28" thickTop="1" thickBot="1">
      <c r="A15" s="359" t="s">
        <v>437</v>
      </c>
      <c r="B15" s="368">
        <v>6807</v>
      </c>
      <c r="C15" s="366">
        <f t="shared" si="1"/>
        <v>6956.7539999999999</v>
      </c>
      <c r="D15" s="369">
        <f>E6*(5/12)</f>
        <v>610.83333333333337</v>
      </c>
      <c r="E15" s="369">
        <f t="shared" si="0"/>
        <v>1479.5000000000002</v>
      </c>
      <c r="F15" s="366">
        <f t="shared" si="2"/>
        <v>4157942.5000000005</v>
      </c>
      <c r="G15" s="366">
        <f t="shared" si="3"/>
        <v>10070956.500000002</v>
      </c>
    </row>
    <row r="16" spans="1:10" ht="15" thickTop="1" thickBot="1">
      <c r="A16" s="361" t="s">
        <v>438</v>
      </c>
      <c r="B16" s="370">
        <v>2411</v>
      </c>
      <c r="C16" s="366">
        <f t="shared" si="1"/>
        <v>2464.0419999999999</v>
      </c>
      <c r="D16" s="371">
        <f>E7*(5/12)</f>
        <v>647.5</v>
      </c>
      <c r="E16" s="371">
        <f t="shared" si="0"/>
        <v>1568.6000000000001</v>
      </c>
      <c r="F16" s="366">
        <f t="shared" si="2"/>
        <v>1561122.5</v>
      </c>
      <c r="G16" s="366">
        <f t="shared" si="3"/>
        <v>3781894.6000000006</v>
      </c>
    </row>
    <row r="17" spans="1:7" ht="14" thickBot="1">
      <c r="A17" s="363" t="s">
        <v>439</v>
      </c>
      <c r="B17" s="372"/>
      <c r="C17" s="372"/>
      <c r="D17" s="373">
        <f>SUM(D12:D16)</f>
        <v>2551.3333333333335</v>
      </c>
      <c r="E17" s="373">
        <f t="shared" si="0"/>
        <v>5490.1000000000013</v>
      </c>
      <c r="F17" s="372">
        <f>SUM(F12:F16)</f>
        <v>15041366</v>
      </c>
      <c r="G17" s="372">
        <f>SUM(G12:G16)</f>
        <v>31318211.100000009</v>
      </c>
    </row>
    <row r="18" spans="1:7" ht="13" thickBot="1">
      <c r="F18" s="372">
        <f>G18/E17*D17</f>
        <v>12847163.087977646</v>
      </c>
      <c r="G18" s="372">
        <f>'[1]4. Revenue'!J63*1000</f>
        <v>27645235.198316991</v>
      </c>
    </row>
    <row r="19" spans="1:7" ht="13" thickBot="1">
      <c r="F19" s="372">
        <f>F18-F17</f>
        <v>-2194202.9120223541</v>
      </c>
      <c r="G19" s="372">
        <f>G18-G17</f>
        <v>-3672975.9016830176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070F-7683-4504-B3FA-9BC2052329BE}">
  <dimension ref="A1:C5"/>
  <sheetViews>
    <sheetView workbookViewId="0">
      <selection activeCell="D10" sqref="D10"/>
    </sheetView>
  </sheetViews>
  <sheetFormatPr baseColWidth="10" defaultColWidth="9.1640625" defaultRowHeight="14"/>
  <cols>
    <col min="1" max="1" width="32.33203125" style="148" bestFit="1" customWidth="1"/>
    <col min="2" max="2" width="14.5" style="148" customWidth="1"/>
    <col min="3" max="3" width="12.5" style="148" customWidth="1"/>
    <col min="4" max="16384" width="9.1640625" style="148"/>
  </cols>
  <sheetData>
    <row r="1" spans="1:3" ht="45">
      <c r="A1" s="374"/>
      <c r="B1" s="374" t="s">
        <v>443</v>
      </c>
      <c r="C1" s="374" t="s">
        <v>444</v>
      </c>
    </row>
    <row r="2" spans="1:3">
      <c r="A2" s="375" t="s">
        <v>445</v>
      </c>
      <c r="B2" s="376">
        <v>941</v>
      </c>
      <c r="C2" s="377">
        <v>1882</v>
      </c>
    </row>
    <row r="3" spans="1:3">
      <c r="A3" s="375" t="s">
        <v>446</v>
      </c>
      <c r="B3" s="376">
        <v>568</v>
      </c>
      <c r="C3" s="377">
        <v>1137</v>
      </c>
    </row>
    <row r="4" spans="1:3">
      <c r="A4" s="375" t="s">
        <v>447</v>
      </c>
      <c r="B4" s="376">
        <v>563</v>
      </c>
      <c r="C4" s="377">
        <v>1126</v>
      </c>
    </row>
    <row r="5" spans="1:3">
      <c r="A5" s="378"/>
      <c r="B5" s="379">
        <f>SUM(B2:B4)</f>
        <v>2072</v>
      </c>
      <c r="C5" s="37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J18" sqref="J18"/>
    </sheetView>
  </sheetViews>
  <sheetFormatPr baseColWidth="10" defaultColWidth="8.83203125" defaultRowHeight="1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92141-7410-47E7-813A-F04E4DFD57C5}">
  <dimension ref="A1:V91"/>
  <sheetViews>
    <sheetView topLeftCell="D1" workbookViewId="0">
      <selection activeCell="K4" sqref="K4"/>
    </sheetView>
  </sheetViews>
  <sheetFormatPr baseColWidth="10" defaultColWidth="9.1640625" defaultRowHeight="14"/>
  <cols>
    <col min="1" max="1" width="9.1640625" style="148"/>
    <col min="2" max="2" width="31.5" style="148" bestFit="1" customWidth="1"/>
    <col min="3" max="3" width="11" style="148" customWidth="1"/>
    <col min="4" max="4" width="22.83203125" style="148" bestFit="1" customWidth="1"/>
    <col min="5" max="5" width="47.83203125" style="148" bestFit="1" customWidth="1"/>
    <col min="6" max="6" width="39.83203125" style="148" bestFit="1" customWidth="1"/>
    <col min="7" max="7" width="10.5" style="148" customWidth="1"/>
    <col min="8" max="8" width="10.5" style="412" customWidth="1"/>
    <col min="9" max="9" width="10" style="148" customWidth="1"/>
    <col min="10" max="11" width="10.5" style="148" customWidth="1"/>
    <col min="12" max="12" width="9.1640625" style="148"/>
    <col min="13" max="13" width="11.5" style="148" customWidth="1"/>
    <col min="14" max="16384" width="9.1640625" style="148"/>
  </cols>
  <sheetData>
    <row r="1" spans="1:13" ht="28.5" customHeight="1">
      <c r="B1" s="155"/>
      <c r="C1" s="155"/>
      <c r="D1" s="155"/>
      <c r="E1" s="155"/>
      <c r="F1" s="155"/>
      <c r="G1" s="490" t="s">
        <v>604</v>
      </c>
      <c r="H1" s="491"/>
      <c r="I1" s="155"/>
      <c r="J1" s="489" t="s">
        <v>602</v>
      </c>
      <c r="K1" s="489"/>
      <c r="L1" s="489" t="s">
        <v>601</v>
      </c>
      <c r="M1" s="489"/>
    </row>
    <row r="2" spans="1:13" ht="60">
      <c r="A2" s="153" t="s">
        <v>609</v>
      </c>
      <c r="B2" s="155" t="s">
        <v>487</v>
      </c>
      <c r="C2" s="155" t="s">
        <v>488</v>
      </c>
      <c r="D2" s="155" t="s">
        <v>489</v>
      </c>
      <c r="E2" s="155" t="s">
        <v>490</v>
      </c>
      <c r="F2" s="155" t="s">
        <v>491</v>
      </c>
      <c r="G2" s="402" t="s">
        <v>603</v>
      </c>
      <c r="H2" s="402" t="s">
        <v>605</v>
      </c>
      <c r="I2" s="403" t="s">
        <v>615</v>
      </c>
      <c r="J2" s="402" t="s">
        <v>492</v>
      </c>
      <c r="K2" s="403" t="s">
        <v>606</v>
      </c>
      <c r="L2" s="402" t="s">
        <v>492</v>
      </c>
      <c r="M2" s="403" t="s">
        <v>493</v>
      </c>
    </row>
    <row r="3" spans="1:13" s="407" customFormat="1">
      <c r="A3" s="407" t="str">
        <f>B3&amp;E3&amp;F3</f>
        <v>Pre Operative AssessmentSubstantive Nursing Band 6Pre-Op Assessment Nurse</v>
      </c>
      <c r="B3" s="407" t="s">
        <v>494</v>
      </c>
      <c r="C3" s="407" t="s">
        <v>330</v>
      </c>
      <c r="D3" s="407" t="s">
        <v>215</v>
      </c>
      <c r="E3" s="407" t="s">
        <v>495</v>
      </c>
      <c r="F3" s="407" t="s">
        <v>496</v>
      </c>
      <c r="G3" s="408">
        <v>2.4039964444444446</v>
      </c>
      <c r="H3" s="413">
        <f>M3/L3*G3</f>
        <v>122.60381866666667</v>
      </c>
      <c r="I3" s="410">
        <f>J3/L3</f>
        <v>0.94330639892043455</v>
      </c>
      <c r="J3" s="408">
        <f>(SUM('7b. Activity Phasing'!C13:C16)*0.1*1.12*1.22)/37.5/42+G3</f>
        <v>2.4924871111111111</v>
      </c>
      <c r="K3" s="409">
        <f>M3*I3</f>
        <v>127.11684266666667</v>
      </c>
      <c r="L3" s="408">
        <v>2.642287928888889</v>
      </c>
      <c r="M3" s="409">
        <f>L3*51</f>
        <v>134.75668437333334</v>
      </c>
    </row>
    <row r="4" spans="1:13" s="407" customFormat="1">
      <c r="A4" s="407" t="str">
        <f t="shared" ref="A4:A69" si="0">B4&amp;E4&amp;F4</f>
        <v>Pre Operative AssessmentSubstantive Nursing Band 2Pre-Op Investigations HCA</v>
      </c>
      <c r="B4" s="407" t="s">
        <v>494</v>
      </c>
      <c r="C4" s="407" t="s">
        <v>330</v>
      </c>
      <c r="D4" s="407" t="s">
        <v>215</v>
      </c>
      <c r="E4" s="407" t="s">
        <v>497</v>
      </c>
      <c r="F4" s="407" t="s">
        <v>498</v>
      </c>
      <c r="G4" s="408">
        <v>1.2019982222222223</v>
      </c>
      <c r="H4" s="413">
        <f>M4/L4*G4</f>
        <v>36.781145600000009</v>
      </c>
      <c r="I4" s="410">
        <f>J4/L4</f>
        <v>0.94330639892043455</v>
      </c>
      <c r="J4" s="408">
        <f>J3/2</f>
        <v>1.2462435555555555</v>
      </c>
      <c r="K4" s="409">
        <f t="shared" ref="K4:K67" si="1">M4*I4</f>
        <v>38.135052800000004</v>
      </c>
      <c r="L4" s="408">
        <v>1.3211439644444445</v>
      </c>
      <c r="M4" s="409">
        <f>L4*30.6</f>
        <v>40.427005312000006</v>
      </c>
    </row>
    <row r="5" spans="1:13" s="407" customFormat="1">
      <c r="A5" s="407" t="str">
        <f t="shared" si="0"/>
        <v>Pre Operative AssessmentAnaesthetist (POA)Anaesthetist</v>
      </c>
      <c r="B5" s="407" t="s">
        <v>494</v>
      </c>
      <c r="C5" s="407" t="s">
        <v>330</v>
      </c>
      <c r="D5" s="407" t="s">
        <v>115</v>
      </c>
      <c r="E5" s="407" t="s">
        <v>608</v>
      </c>
      <c r="F5" s="407" t="s">
        <v>562</v>
      </c>
      <c r="G5" s="408">
        <v>1.0210600907029479</v>
      </c>
      <c r="H5" s="413">
        <f>M5/L5*G5</f>
        <v>122.32810416666666</v>
      </c>
      <c r="I5" s="410">
        <f>J5/L5</f>
        <v>0.94330639892043455</v>
      </c>
      <c r="J5" s="408">
        <f>(J3/G3)*G5</f>
        <v>1.0586451247165534</v>
      </c>
      <c r="K5" s="409">
        <f t="shared" si="1"/>
        <v>126.83097916666665</v>
      </c>
      <c r="L5" s="408">
        <v>1.1222706916099774</v>
      </c>
      <c r="M5" s="409">
        <f>L5*(114.1*1.05)</f>
        <v>134.45364020833333</v>
      </c>
    </row>
    <row r="6" spans="1:13">
      <c r="A6" s="148" t="str">
        <f t="shared" si="0"/>
        <v>Theatre Assessment UnitSubstantive Nursing Band 6TAU Qualified Nurse</v>
      </c>
      <c r="B6" s="148" t="s">
        <v>501</v>
      </c>
      <c r="C6" s="148" t="s">
        <v>330</v>
      </c>
      <c r="D6" s="148" t="s">
        <v>215</v>
      </c>
      <c r="E6" s="148" t="s">
        <v>495</v>
      </c>
      <c r="F6" s="148" t="s">
        <v>502</v>
      </c>
      <c r="G6" s="404">
        <v>1</v>
      </c>
      <c r="H6" s="405">
        <f>56.3*G6</f>
        <v>56.3</v>
      </c>
      <c r="I6" s="181">
        <v>0.83</v>
      </c>
      <c r="J6" s="404">
        <f>L6*I6</f>
        <v>1.0865253333333333</v>
      </c>
      <c r="K6" s="405">
        <f t="shared" si="1"/>
        <v>61.17137626666667</v>
      </c>
      <c r="L6" s="404">
        <v>1.3090666666666668</v>
      </c>
      <c r="M6" s="405">
        <f>56.3*L6</f>
        <v>73.700453333333343</v>
      </c>
    </row>
    <row r="7" spans="1:13">
      <c r="A7" s="148" t="str">
        <f t="shared" si="0"/>
        <v>Theatre Assessment UnitSubstantive Nursing Band 5TAU Qualified Nurse</v>
      </c>
      <c r="B7" s="148" t="s">
        <v>501</v>
      </c>
      <c r="C7" s="148" t="s">
        <v>330</v>
      </c>
      <c r="D7" s="148" t="s">
        <v>215</v>
      </c>
      <c r="E7" s="148" t="s">
        <v>503</v>
      </c>
      <c r="F7" s="148" t="s">
        <v>502</v>
      </c>
      <c r="G7" s="404">
        <v>4</v>
      </c>
      <c r="H7" s="412">
        <f>G7*41.7</f>
        <v>166.8</v>
      </c>
      <c r="I7" s="181">
        <v>0.83</v>
      </c>
      <c r="J7" s="404">
        <f t="shared" ref="J7:J61" si="2">L7*I7</f>
        <v>8.9500559999999982</v>
      </c>
      <c r="K7" s="405">
        <f t="shared" si="1"/>
        <v>373.21733519999992</v>
      </c>
      <c r="L7" s="404">
        <v>10.783199999999999</v>
      </c>
      <c r="M7" s="412">
        <f>L7*41.7</f>
        <v>449.65943999999996</v>
      </c>
    </row>
    <row r="8" spans="1:13">
      <c r="A8" s="148" t="str">
        <f t="shared" si="0"/>
        <v>Theatre Assessment UnitSubstantive Nursing Band 2TAU Unqualified Nurse</v>
      </c>
      <c r="B8" s="148" t="s">
        <v>501</v>
      </c>
      <c r="C8" s="148" t="s">
        <v>330</v>
      </c>
      <c r="D8" s="148" t="s">
        <v>215</v>
      </c>
      <c r="E8" s="148" t="s">
        <v>497</v>
      </c>
      <c r="F8" s="148" t="s">
        <v>504</v>
      </c>
      <c r="G8" s="404">
        <v>1</v>
      </c>
      <c r="H8" s="405">
        <f>G8*31.2</f>
        <v>31.2</v>
      </c>
      <c r="I8" s="181">
        <v>0.83</v>
      </c>
      <c r="J8" s="404">
        <f t="shared" si="2"/>
        <v>2.3691520000000001</v>
      </c>
      <c r="K8" s="405">
        <f t="shared" si="1"/>
        <v>73.917542400000002</v>
      </c>
      <c r="L8" s="404">
        <v>2.8544</v>
      </c>
      <c r="M8" s="405">
        <f>L8*31.2</f>
        <v>89.057280000000006</v>
      </c>
    </row>
    <row r="9" spans="1:13">
      <c r="A9" s="148" t="str">
        <f t="shared" si="0"/>
        <v>RecoverySubstantive Nursing Band 6Recovery Nurse</v>
      </c>
      <c r="B9" s="148" t="s">
        <v>505</v>
      </c>
      <c r="C9" s="148" t="s">
        <v>330</v>
      </c>
      <c r="D9" s="148" t="s">
        <v>215</v>
      </c>
      <c r="E9" s="148" t="s">
        <v>495</v>
      </c>
      <c r="F9" s="148" t="s">
        <v>506</v>
      </c>
      <c r="G9" s="404">
        <v>8.02</v>
      </c>
      <c r="H9" s="405">
        <f>45.4</f>
        <v>45.4</v>
      </c>
      <c r="I9" s="181">
        <v>0.83</v>
      </c>
      <c r="J9" s="404">
        <f t="shared" si="2"/>
        <v>15.574230666666667</v>
      </c>
      <c r="K9" s="405">
        <f t="shared" si="1"/>
        <v>37.681999999999995</v>
      </c>
      <c r="L9" s="404">
        <v>18.764133333333334</v>
      </c>
      <c r="M9" s="405">
        <f>45.4</f>
        <v>45.4</v>
      </c>
    </row>
    <row r="10" spans="1:13">
      <c r="A10" s="148" t="str">
        <f t="shared" si="0"/>
        <v>Theatre StaffingSubstantive Nursing Band 7ODA</v>
      </c>
      <c r="B10" s="148" t="s">
        <v>507</v>
      </c>
      <c r="C10" s="148" t="s">
        <v>330</v>
      </c>
      <c r="D10" s="148" t="s">
        <v>215</v>
      </c>
      <c r="E10" s="148" t="s">
        <v>499</v>
      </c>
      <c r="F10" s="148" t="s">
        <v>508</v>
      </c>
      <c r="G10" s="404">
        <v>5.8559999999999999</v>
      </c>
      <c r="H10" s="412">
        <f>61.5*G10</f>
        <v>360.14400000000001</v>
      </c>
      <c r="I10" s="181">
        <v>0.83</v>
      </c>
      <c r="J10" s="404">
        <f t="shared" si="2"/>
        <v>8.9108800000000006</v>
      </c>
      <c r="K10" s="405">
        <f t="shared" si="1"/>
        <v>548.01911999999993</v>
      </c>
      <c r="L10" s="404">
        <v>10.736000000000001</v>
      </c>
      <c r="M10" s="412">
        <f>61.5*L10</f>
        <v>660.26400000000001</v>
      </c>
    </row>
    <row r="11" spans="1:13">
      <c r="A11" s="148" t="str">
        <f t="shared" si="0"/>
        <v>Theatre StaffingSubstantive Nursing Band 6Scrub Nurse and Theatre Coordinator</v>
      </c>
      <c r="B11" s="148" t="s">
        <v>507</v>
      </c>
      <c r="C11" s="148" t="s">
        <v>330</v>
      </c>
      <c r="D11" s="148" t="s">
        <v>215</v>
      </c>
      <c r="E11" s="148" t="s">
        <v>495</v>
      </c>
      <c r="F11" s="148" t="s">
        <v>509</v>
      </c>
      <c r="G11" s="404">
        <v>13.257333333333333</v>
      </c>
      <c r="H11" s="405">
        <f>G11*50.6</f>
        <v>670.82106666666664</v>
      </c>
      <c r="I11" s="181">
        <v>0.83</v>
      </c>
      <c r="J11" s="404">
        <f t="shared" si="2"/>
        <v>23.411312000000002</v>
      </c>
      <c r="K11" s="405">
        <f t="shared" si="1"/>
        <v>1343.8093088000001</v>
      </c>
      <c r="L11" s="404">
        <v>28.206400000000002</v>
      </c>
      <c r="M11" s="405">
        <f>L11*57.4</f>
        <v>1619.04736</v>
      </c>
    </row>
    <row r="12" spans="1:13">
      <c r="A12" s="148" t="str">
        <f t="shared" si="0"/>
        <v>Theatre StaffingSubstantive Nursing Band 2Theatre Support Worker</v>
      </c>
      <c r="B12" s="148" t="s">
        <v>507</v>
      </c>
      <c r="C12" s="148" t="s">
        <v>330</v>
      </c>
      <c r="D12" s="148" t="s">
        <v>215</v>
      </c>
      <c r="E12" s="148" t="s">
        <v>497</v>
      </c>
      <c r="F12" s="148" t="s">
        <v>510</v>
      </c>
      <c r="G12" s="404">
        <v>5.8559999999999999</v>
      </c>
      <c r="H12" s="405">
        <f>30*G12</f>
        <v>175.68</v>
      </c>
      <c r="I12" s="181">
        <v>0.83</v>
      </c>
      <c r="J12" s="404">
        <f t="shared" si="2"/>
        <v>10.531039999999999</v>
      </c>
      <c r="K12" s="405">
        <f t="shared" si="1"/>
        <v>329.62155199999995</v>
      </c>
      <c r="L12" s="404">
        <v>12.687999999999999</v>
      </c>
      <c r="M12" s="405">
        <f>31.3*L12</f>
        <v>397.13439999999997</v>
      </c>
    </row>
    <row r="13" spans="1:13">
      <c r="A13" s="148" t="str">
        <f t="shared" si="0"/>
        <v xml:space="preserve">PharmacySubstantive Pharmacist Band 8aPharmacist </v>
      </c>
      <c r="B13" s="148" t="s">
        <v>511</v>
      </c>
      <c r="C13" s="148" t="s">
        <v>330</v>
      </c>
      <c r="D13" s="148" t="s">
        <v>216</v>
      </c>
      <c r="E13" s="148" t="s">
        <v>512</v>
      </c>
      <c r="F13" s="148" t="s">
        <v>513</v>
      </c>
      <c r="G13" s="404">
        <v>0.84</v>
      </c>
      <c r="H13" s="405">
        <f>67.6*G13</f>
        <v>56.783999999999992</v>
      </c>
      <c r="I13" s="181">
        <v>0.79</v>
      </c>
      <c r="J13" s="404">
        <f t="shared" si="2"/>
        <v>1.4536</v>
      </c>
      <c r="K13" s="405">
        <f t="shared" si="1"/>
        <v>85.180959999999999</v>
      </c>
      <c r="L13" s="404">
        <v>1.8399999999999999</v>
      </c>
      <c r="M13" s="405">
        <f>L13*58.6</f>
        <v>107.824</v>
      </c>
    </row>
    <row r="14" spans="1:13">
      <c r="A14" s="148" t="str">
        <f t="shared" si="0"/>
        <v>Enhanced Care UnitConsultantIntensivist</v>
      </c>
      <c r="B14" s="148" t="s">
        <v>514</v>
      </c>
      <c r="C14" s="148" t="s">
        <v>330</v>
      </c>
      <c r="D14" s="148" t="s">
        <v>115</v>
      </c>
      <c r="E14" s="148" t="s">
        <v>115</v>
      </c>
      <c r="F14" s="148" t="s">
        <v>515</v>
      </c>
      <c r="G14" s="404">
        <v>0.91500000000000004</v>
      </c>
      <c r="H14" s="412">
        <f>M14/L14*G14</f>
        <v>128.05108591269843</v>
      </c>
      <c r="I14" s="181">
        <v>0.79</v>
      </c>
      <c r="J14" s="404">
        <f t="shared" si="2"/>
        <v>0.7228500000000001</v>
      </c>
      <c r="K14" s="405">
        <f t="shared" si="1"/>
        <v>101.16035787103176</v>
      </c>
      <c r="L14" s="404">
        <v>0.91500000000000004</v>
      </c>
      <c r="M14" s="405">
        <f>L5*(114.1)</f>
        <v>128.05108591269843</v>
      </c>
    </row>
    <row r="15" spans="1:13">
      <c r="A15" s="148" t="str">
        <f t="shared" si="0"/>
        <v>Enhanced Care UnitSpRCritical Care SpR</v>
      </c>
      <c r="B15" s="148" t="s">
        <v>514</v>
      </c>
      <c r="C15" s="148" t="s">
        <v>330</v>
      </c>
      <c r="D15" s="148" t="s">
        <v>214</v>
      </c>
      <c r="E15" s="148" t="s">
        <v>516</v>
      </c>
      <c r="F15" s="148" t="s">
        <v>517</v>
      </c>
      <c r="G15" s="404">
        <v>1.3</v>
      </c>
      <c r="H15" s="405">
        <f>G15*84.4*1.05</f>
        <v>115.20600000000002</v>
      </c>
      <c r="I15" s="181">
        <v>0.79</v>
      </c>
      <c r="J15" s="404">
        <f t="shared" si="2"/>
        <v>1.0270000000000001</v>
      </c>
      <c r="K15" s="405">
        <f t="shared" si="1"/>
        <v>91.012740000000022</v>
      </c>
      <c r="L15" s="404">
        <v>1.3</v>
      </c>
      <c r="M15" s="405">
        <f>L15*84.4*1.05</f>
        <v>115.20600000000002</v>
      </c>
    </row>
    <row r="16" spans="1:13">
      <c r="A16" s="148" t="str">
        <f t="shared" si="0"/>
        <v>Enhanced Care UnitSubstantive Nursing Band 7Critical Care Nurse Qualified</v>
      </c>
      <c r="B16" s="148" t="s">
        <v>514</v>
      </c>
      <c r="C16" s="148" t="s">
        <v>330</v>
      </c>
      <c r="D16" s="148" t="s">
        <v>215</v>
      </c>
      <c r="E16" s="148" t="s">
        <v>499</v>
      </c>
      <c r="F16" s="148" t="s">
        <v>518</v>
      </c>
      <c r="G16" s="404">
        <v>1.325</v>
      </c>
      <c r="H16" s="405">
        <f>58.8*G16</f>
        <v>77.91</v>
      </c>
      <c r="I16" s="181">
        <v>0.79</v>
      </c>
      <c r="J16" s="404">
        <f t="shared" si="2"/>
        <v>1.0467500000000001</v>
      </c>
      <c r="K16" s="405">
        <f t="shared" si="1"/>
        <v>61.548900000000003</v>
      </c>
      <c r="L16" s="404">
        <v>1.325</v>
      </c>
      <c r="M16" s="405">
        <f>58.8*L16</f>
        <v>77.91</v>
      </c>
    </row>
    <row r="17" spans="1:22">
      <c r="A17" s="148" t="str">
        <f t="shared" si="0"/>
        <v>Enhanced Care UnitSubstantive Nursing Band 6Critical Care Nurse Qualified</v>
      </c>
      <c r="B17" s="148" t="s">
        <v>514</v>
      </c>
      <c r="C17" s="148" t="s">
        <v>330</v>
      </c>
      <c r="D17" s="148" t="s">
        <v>215</v>
      </c>
      <c r="E17" s="148" t="s">
        <v>495</v>
      </c>
      <c r="F17" s="148" t="s">
        <v>518</v>
      </c>
      <c r="G17" s="404">
        <v>2.875</v>
      </c>
      <c r="H17" s="405">
        <f>G17*59.6</f>
        <v>171.35</v>
      </c>
      <c r="I17" s="181">
        <v>0.79</v>
      </c>
      <c r="J17" s="404">
        <f t="shared" si="2"/>
        <v>2.2712500000000002</v>
      </c>
      <c r="K17" s="405">
        <f t="shared" si="1"/>
        <v>135.3665</v>
      </c>
      <c r="L17" s="404">
        <v>2.875</v>
      </c>
      <c r="M17" s="405">
        <f>L17*59.6</f>
        <v>171.35</v>
      </c>
    </row>
    <row r="18" spans="1:22">
      <c r="A18" s="148" t="str">
        <f t="shared" si="0"/>
        <v>Enhanced Care UnitSubstantive Nursing Band 5Critical Care Nurse Qualified</v>
      </c>
      <c r="B18" s="148" t="s">
        <v>514</v>
      </c>
      <c r="C18" s="148" t="s">
        <v>330</v>
      </c>
      <c r="D18" s="148" t="s">
        <v>215</v>
      </c>
      <c r="E18" s="148" t="s">
        <v>503</v>
      </c>
      <c r="F18" s="148" t="s">
        <v>518</v>
      </c>
      <c r="G18" s="404">
        <v>2.85</v>
      </c>
      <c r="H18" s="405">
        <f>45.3*G18</f>
        <v>129.10499999999999</v>
      </c>
      <c r="I18" s="181">
        <v>0.79</v>
      </c>
      <c r="J18" s="404">
        <f t="shared" si="2"/>
        <v>2.2515000000000001</v>
      </c>
      <c r="K18" s="405">
        <f t="shared" si="1"/>
        <v>101.99294999999999</v>
      </c>
      <c r="L18" s="404">
        <v>2.85</v>
      </c>
      <c r="M18" s="405">
        <f>45.3*L18</f>
        <v>129.10499999999999</v>
      </c>
    </row>
    <row r="19" spans="1:22">
      <c r="A19" s="148" t="str">
        <f t="shared" si="0"/>
        <v>Enhanced Care UnitSubstantive Nursing Band 2Critical Care Nurse Unqualified</v>
      </c>
      <c r="B19" s="148" t="s">
        <v>514</v>
      </c>
      <c r="C19" s="148" t="s">
        <v>330</v>
      </c>
      <c r="D19" s="148" t="s">
        <v>215</v>
      </c>
      <c r="E19" s="148" t="s">
        <v>497</v>
      </c>
      <c r="F19" s="148" t="s">
        <v>519</v>
      </c>
      <c r="G19" s="404">
        <v>1.3</v>
      </c>
      <c r="H19" s="405">
        <f>G19*37.2</f>
        <v>48.360000000000007</v>
      </c>
      <c r="I19" s="181">
        <v>0.79</v>
      </c>
      <c r="J19" s="404">
        <f t="shared" si="2"/>
        <v>1.0270000000000001</v>
      </c>
      <c r="K19" s="405">
        <f t="shared" si="1"/>
        <v>38.204400000000007</v>
      </c>
      <c r="L19" s="404">
        <v>1.3</v>
      </c>
      <c r="M19" s="405">
        <f>L19*37.2</f>
        <v>48.360000000000007</v>
      </c>
    </row>
    <row r="20" spans="1:22">
      <c r="A20" s="148" t="str">
        <f t="shared" si="0"/>
        <v>Enhanced Care UnitSubstantive Physiotherapist B7Physiotherapist</v>
      </c>
      <c r="B20" s="148" t="s">
        <v>514</v>
      </c>
      <c r="C20" s="148" t="s">
        <v>330</v>
      </c>
      <c r="D20" s="148" t="s">
        <v>212</v>
      </c>
      <c r="E20" s="148" t="s">
        <v>520</v>
      </c>
      <c r="F20" s="148" t="s">
        <v>521</v>
      </c>
      <c r="G20" s="404">
        <v>0.25</v>
      </c>
      <c r="H20" s="405">
        <f>58.8*G20</f>
        <v>14.7</v>
      </c>
      <c r="I20" s="181">
        <v>0.79</v>
      </c>
      <c r="J20" s="404">
        <f t="shared" si="2"/>
        <v>0.19750000000000001</v>
      </c>
      <c r="K20" s="405">
        <f t="shared" si="1"/>
        <v>11.613</v>
      </c>
      <c r="L20" s="404">
        <v>0.25</v>
      </c>
      <c r="M20" s="405">
        <f>58.8*L20</f>
        <v>14.7</v>
      </c>
      <c r="Q20" s="148" t="s">
        <v>522</v>
      </c>
    </row>
    <row r="21" spans="1:22">
      <c r="A21" s="148" t="str">
        <f t="shared" si="0"/>
        <v xml:space="preserve">Enhanced Care UnitSubstantive Pharmacist Band 8aPharmacist </v>
      </c>
      <c r="B21" s="148" t="s">
        <v>514</v>
      </c>
      <c r="C21" s="148" t="s">
        <v>330</v>
      </c>
      <c r="D21" s="148" t="s">
        <v>216</v>
      </c>
      <c r="E21" s="148" t="s">
        <v>512</v>
      </c>
      <c r="F21" s="148" t="s">
        <v>513</v>
      </c>
      <c r="G21" s="404">
        <v>0.125</v>
      </c>
      <c r="H21" s="405">
        <f>67.6*G21</f>
        <v>8.4499999999999993</v>
      </c>
      <c r="I21" s="181">
        <v>0.79</v>
      </c>
      <c r="J21" s="404">
        <f t="shared" si="2"/>
        <v>9.8750000000000004E-2</v>
      </c>
      <c r="K21" s="405">
        <f t="shared" si="1"/>
        <v>5.7867500000000005</v>
      </c>
      <c r="L21" s="404">
        <v>0.125</v>
      </c>
      <c r="M21" s="405">
        <f>L21*58.6</f>
        <v>7.3250000000000002</v>
      </c>
      <c r="R21" s="148" t="s">
        <v>523</v>
      </c>
      <c r="S21" s="148" t="s">
        <v>524</v>
      </c>
      <c r="T21" s="148" t="s">
        <v>525</v>
      </c>
      <c r="U21" s="148" t="s">
        <v>526</v>
      </c>
      <c r="V21" s="148" t="s">
        <v>527</v>
      </c>
    </row>
    <row r="22" spans="1:22">
      <c r="A22" s="148" t="str">
        <f t="shared" si="0"/>
        <v>Pain TeamSubstantive Nursing Band 6Pain Nurse</v>
      </c>
      <c r="B22" s="148" t="s">
        <v>528</v>
      </c>
      <c r="C22" s="148" t="s">
        <v>330</v>
      </c>
      <c r="D22" s="148" t="s">
        <v>215</v>
      </c>
      <c r="E22" s="148" t="s">
        <v>495</v>
      </c>
      <c r="F22" s="148" t="s">
        <v>529</v>
      </c>
      <c r="G22" s="404">
        <v>1</v>
      </c>
      <c r="H22" s="405">
        <f>G22*48.4</f>
        <v>48.4</v>
      </c>
      <c r="I22" s="181">
        <v>0.83</v>
      </c>
      <c r="J22" s="404">
        <f t="shared" si="2"/>
        <v>2.0451199999999998</v>
      </c>
      <c r="K22" s="405">
        <f t="shared" si="1"/>
        <v>98.983807999999996</v>
      </c>
      <c r="L22" s="404">
        <v>2.464</v>
      </c>
      <c r="M22" s="405">
        <f>L22*48.4</f>
        <v>119.2576</v>
      </c>
      <c r="Q22" s="148" t="s">
        <v>530</v>
      </c>
      <c r="R22" s="148">
        <v>0.32</v>
      </c>
      <c r="S22" s="148">
        <v>0.99898635477582853</v>
      </c>
      <c r="T22" s="148">
        <v>1.5983781676413258</v>
      </c>
      <c r="U22" s="148">
        <v>1.9500213645224174</v>
      </c>
      <c r="V22" s="148">
        <v>102346.87131695908</v>
      </c>
    </row>
    <row r="23" spans="1:22">
      <c r="A23" s="148" t="str">
        <f t="shared" si="0"/>
        <v>TherapiesSubstantive Occ Therapist B7Occupational Therapist</v>
      </c>
      <c r="B23" s="148" t="s">
        <v>531</v>
      </c>
      <c r="C23" s="148" t="s">
        <v>330</v>
      </c>
      <c r="D23" s="148" t="s">
        <v>212</v>
      </c>
      <c r="E23" s="148" t="s">
        <v>532</v>
      </c>
      <c r="F23" s="148" t="s">
        <v>533</v>
      </c>
      <c r="G23" s="404">
        <v>0</v>
      </c>
      <c r="H23" s="405">
        <f>58.8*G23</f>
        <v>0</v>
      </c>
      <c r="I23" s="181">
        <v>0.83</v>
      </c>
      <c r="J23" s="404">
        <f t="shared" si="2"/>
        <v>0.83</v>
      </c>
      <c r="K23" s="405">
        <f t="shared" si="1"/>
        <v>48.803999999999995</v>
      </c>
      <c r="L23" s="404">
        <v>1</v>
      </c>
      <c r="M23" s="405">
        <f>58.8*L23</f>
        <v>58.8</v>
      </c>
      <c r="Q23" s="148" t="s">
        <v>534</v>
      </c>
      <c r="R23" s="148">
        <v>0.32</v>
      </c>
      <c r="S23" s="148">
        <v>0.99898635477582853</v>
      </c>
      <c r="T23" s="148">
        <v>1.5983781676413258</v>
      </c>
      <c r="U23" s="148">
        <v>1.9500213645224174</v>
      </c>
      <c r="V23" s="148">
        <v>60893.317149941526</v>
      </c>
    </row>
    <row r="24" spans="1:22">
      <c r="A24" s="148" t="str">
        <f t="shared" si="0"/>
        <v>TherapiesSubstantive Occ Therapist B5Occupational Therapist</v>
      </c>
      <c r="B24" s="148" t="s">
        <v>531</v>
      </c>
      <c r="C24" s="148" t="s">
        <v>330</v>
      </c>
      <c r="D24" s="148" t="s">
        <v>212</v>
      </c>
      <c r="E24" s="148" t="s">
        <v>535</v>
      </c>
      <c r="F24" s="148" t="s">
        <v>533</v>
      </c>
      <c r="G24" s="404">
        <v>1</v>
      </c>
      <c r="H24" s="405">
        <f>G24*58.7</f>
        <v>58.7</v>
      </c>
      <c r="I24" s="181">
        <v>0.83</v>
      </c>
      <c r="J24" s="404">
        <f t="shared" si="2"/>
        <v>0.83</v>
      </c>
      <c r="K24" s="405">
        <f t="shared" si="1"/>
        <v>48.720999999999997</v>
      </c>
      <c r="L24" s="404">
        <v>1</v>
      </c>
      <c r="M24" s="405">
        <f>L24*58.7</f>
        <v>58.7</v>
      </c>
      <c r="Q24" s="148" t="s">
        <v>536</v>
      </c>
      <c r="R24" s="148">
        <v>0.32</v>
      </c>
      <c r="S24" s="148">
        <v>0.99898635477582853</v>
      </c>
      <c r="T24" s="148">
        <v>0.99898635477582853</v>
      </c>
      <c r="U24" s="148">
        <v>1.2187633528265107</v>
      </c>
      <c r="V24" s="148">
        <v>33412.397317738789</v>
      </c>
    </row>
    <row r="25" spans="1:22">
      <c r="A25" s="148" t="str">
        <f t="shared" si="0"/>
        <v>TherapiesSubstantive Physiotherapist B7Physiotherapist</v>
      </c>
      <c r="B25" s="148" t="s">
        <v>531</v>
      </c>
      <c r="C25" s="148" t="s">
        <v>330</v>
      </c>
      <c r="D25" s="148" t="s">
        <v>212</v>
      </c>
      <c r="E25" s="148" t="s">
        <v>520</v>
      </c>
      <c r="F25" s="148" t="s">
        <v>521</v>
      </c>
      <c r="G25" s="404">
        <v>1</v>
      </c>
      <c r="H25" s="405">
        <f>58.8*G25</f>
        <v>58.8</v>
      </c>
      <c r="I25" s="181">
        <v>0.83</v>
      </c>
      <c r="J25" s="404">
        <f t="shared" si="2"/>
        <v>1.5686999999999998</v>
      </c>
      <c r="K25" s="405">
        <f t="shared" si="1"/>
        <v>92.239559999999983</v>
      </c>
      <c r="L25" s="404">
        <v>1.89</v>
      </c>
      <c r="M25" s="405">
        <f>58.8*L25</f>
        <v>111.13199999999999</v>
      </c>
      <c r="U25" s="148">
        <v>5.1188060818713454</v>
      </c>
      <c r="V25" s="148">
        <v>196652.58578463941</v>
      </c>
    </row>
    <row r="26" spans="1:22">
      <c r="A26" s="148" t="str">
        <f t="shared" si="0"/>
        <v>TherapiesSubstantive Physiotherapist B6Physiotherapist</v>
      </c>
      <c r="B26" s="148" t="s">
        <v>531</v>
      </c>
      <c r="C26" s="148" t="s">
        <v>330</v>
      </c>
      <c r="D26" s="148" t="s">
        <v>212</v>
      </c>
      <c r="E26" s="148" t="s">
        <v>537</v>
      </c>
      <c r="F26" s="148" t="s">
        <v>521</v>
      </c>
      <c r="G26" s="404">
        <v>1</v>
      </c>
      <c r="H26" s="405">
        <f>G26*48.4</f>
        <v>48.4</v>
      </c>
      <c r="I26" s="181">
        <v>0.83</v>
      </c>
      <c r="J26" s="404">
        <f t="shared" si="2"/>
        <v>4.9799999999999995</v>
      </c>
      <c r="K26" s="405">
        <f t="shared" si="1"/>
        <v>241.03199999999998</v>
      </c>
      <c r="L26" s="404">
        <v>6</v>
      </c>
      <c r="M26" s="405">
        <f>L26*48.4</f>
        <v>290.39999999999998</v>
      </c>
    </row>
    <row r="27" spans="1:22">
      <c r="A27" s="148" t="str">
        <f t="shared" si="0"/>
        <v>TherapiesSubstantive Physiotherapist B5Physiotherapist</v>
      </c>
      <c r="B27" s="148" t="s">
        <v>531</v>
      </c>
      <c r="C27" s="148" t="s">
        <v>330</v>
      </c>
      <c r="D27" s="148" t="s">
        <v>212</v>
      </c>
      <c r="E27" s="148" t="s">
        <v>538</v>
      </c>
      <c r="F27" s="148" t="s">
        <v>521</v>
      </c>
      <c r="G27" s="404">
        <v>1</v>
      </c>
      <c r="H27" s="405">
        <f>G27*58.7</f>
        <v>58.7</v>
      </c>
      <c r="I27" s="181">
        <v>0.83</v>
      </c>
      <c r="J27" s="404">
        <f t="shared" si="2"/>
        <v>1.66</v>
      </c>
      <c r="K27" s="405">
        <f t="shared" si="1"/>
        <v>97.441999999999993</v>
      </c>
      <c r="L27" s="404">
        <v>2</v>
      </c>
      <c r="M27" s="405">
        <f>L27*58.7</f>
        <v>117.4</v>
      </c>
    </row>
    <row r="28" spans="1:22">
      <c r="A28" s="148" t="str">
        <f t="shared" si="0"/>
        <v>TherapiesSubstantive Physiotherapist B4Physiotherapist</v>
      </c>
      <c r="B28" s="148" t="s">
        <v>531</v>
      </c>
      <c r="C28" s="148" t="s">
        <v>330</v>
      </c>
      <c r="D28" s="148" t="s">
        <v>212</v>
      </c>
      <c r="E28" s="148" t="s">
        <v>539</v>
      </c>
      <c r="F28" s="148" t="s">
        <v>521</v>
      </c>
      <c r="G28" s="404">
        <v>1.7</v>
      </c>
      <c r="H28" s="405">
        <f>34.7*G28</f>
        <v>58.99</v>
      </c>
      <c r="I28" s="181">
        <v>0.83</v>
      </c>
      <c r="J28" s="404">
        <f t="shared" si="2"/>
        <v>2.3986999999999998</v>
      </c>
      <c r="K28" s="405">
        <f t="shared" si="1"/>
        <v>83.234889999999993</v>
      </c>
      <c r="L28" s="404">
        <v>2.8899999999999997</v>
      </c>
      <c r="M28" s="405">
        <f>34.7*L28</f>
        <v>100.283</v>
      </c>
    </row>
    <row r="29" spans="1:22">
      <c r="A29" s="148" t="str">
        <f t="shared" si="0"/>
        <v>TherapiesSubstantive Physiotherapist B8aPhysiotherapist</v>
      </c>
      <c r="B29" s="148" t="s">
        <v>531</v>
      </c>
      <c r="C29" s="148" t="s">
        <v>330</v>
      </c>
      <c r="D29" s="148" t="s">
        <v>212</v>
      </c>
      <c r="E29" s="148" t="s">
        <v>540</v>
      </c>
      <c r="F29" s="148" t="s">
        <v>521</v>
      </c>
      <c r="G29" s="404">
        <v>0</v>
      </c>
      <c r="H29" s="412">
        <v>0</v>
      </c>
      <c r="I29" s="181">
        <v>0.83</v>
      </c>
      <c r="J29" s="404">
        <f t="shared" si="2"/>
        <v>0.83</v>
      </c>
      <c r="K29" s="405">
        <f t="shared" si="1"/>
        <v>48.637999999999998</v>
      </c>
      <c r="L29" s="404">
        <v>1</v>
      </c>
      <c r="M29" s="405">
        <f>L29*58.6</f>
        <v>58.6</v>
      </c>
    </row>
    <row r="30" spans="1:22">
      <c r="A30" s="148" t="str">
        <f t="shared" si="0"/>
        <v>RadiologySubstantive Radiographer B7Radiographer</v>
      </c>
      <c r="B30" s="148" t="s">
        <v>541</v>
      </c>
      <c r="C30" s="148" t="s">
        <v>330</v>
      </c>
      <c r="D30" s="148" t="s">
        <v>212</v>
      </c>
      <c r="E30" s="148" t="s">
        <v>542</v>
      </c>
      <c r="F30" s="148" t="s">
        <v>543</v>
      </c>
      <c r="G30" s="404">
        <v>1.6266666666666667</v>
      </c>
      <c r="H30" s="405">
        <f>58.8*G30</f>
        <v>95.647999999999996</v>
      </c>
      <c r="I30" s="181">
        <v>0.83</v>
      </c>
      <c r="J30" s="404">
        <f t="shared" si="2"/>
        <v>1.3501333333333334</v>
      </c>
      <c r="K30" s="405">
        <f t="shared" si="1"/>
        <v>79.387839999999997</v>
      </c>
      <c r="L30" s="404">
        <v>1.6266666666666667</v>
      </c>
      <c r="M30" s="405">
        <f>58.8*L30</f>
        <v>95.647999999999996</v>
      </c>
    </row>
    <row r="31" spans="1:22">
      <c r="A31" s="148" t="str">
        <f t="shared" si="0"/>
        <v>RadiologySubstantive Radiographer B6Radiographer</v>
      </c>
      <c r="B31" s="148" t="s">
        <v>541</v>
      </c>
      <c r="C31" s="148" t="s">
        <v>330</v>
      </c>
      <c r="D31" s="148" t="s">
        <v>212</v>
      </c>
      <c r="E31" s="148" t="s">
        <v>544</v>
      </c>
      <c r="F31" s="148" t="s">
        <v>543</v>
      </c>
      <c r="G31" s="404">
        <v>1.6266666666666667</v>
      </c>
      <c r="H31" s="405">
        <f>G31*48.4</f>
        <v>78.730666666666664</v>
      </c>
      <c r="I31" s="181">
        <v>0.83</v>
      </c>
      <c r="J31" s="404">
        <f t="shared" si="2"/>
        <v>4.3879333333333337</v>
      </c>
      <c r="K31" s="405">
        <f t="shared" si="1"/>
        <v>212.37597333333335</v>
      </c>
      <c r="L31" s="404">
        <v>5.2866666666666671</v>
      </c>
      <c r="M31" s="405">
        <f>L31*48.4</f>
        <v>255.87466666666668</v>
      </c>
    </row>
    <row r="32" spans="1:22">
      <c r="A32" s="148" t="str">
        <f t="shared" si="0"/>
        <v>RadiologyConsultantRadiologist</v>
      </c>
      <c r="B32" s="148" t="s">
        <v>541</v>
      </c>
      <c r="C32" s="148" t="s">
        <v>330</v>
      </c>
      <c r="D32" s="148" t="s">
        <v>115</v>
      </c>
      <c r="E32" s="148" t="s">
        <v>115</v>
      </c>
      <c r="F32" s="148" t="s">
        <v>545</v>
      </c>
      <c r="G32" s="404">
        <v>0.44999999999999996</v>
      </c>
      <c r="H32" s="412">
        <f>G32*129.6</f>
        <v>58.319999999999993</v>
      </c>
      <c r="I32" s="181">
        <v>0.83</v>
      </c>
      <c r="J32" s="404">
        <f t="shared" si="2"/>
        <v>0.81814285714285706</v>
      </c>
      <c r="K32" s="405">
        <f t="shared" si="1"/>
        <v>111.33287999999999</v>
      </c>
      <c r="L32" s="404">
        <v>0.98571428571428565</v>
      </c>
      <c r="M32" s="412">
        <f>L32*129.6*1.05</f>
        <v>134.136</v>
      </c>
    </row>
    <row r="33" spans="1:13">
      <c r="A33" s="148" t="str">
        <f t="shared" si="0"/>
        <v>RadiologySubstantive A And C Band 5Radiology Admin</v>
      </c>
      <c r="B33" s="148" t="s">
        <v>541</v>
      </c>
      <c r="C33" s="148" t="s">
        <v>330</v>
      </c>
      <c r="D33" s="148" t="s">
        <v>211</v>
      </c>
      <c r="E33" s="148" t="s">
        <v>546</v>
      </c>
      <c r="F33" s="148" t="s">
        <v>547</v>
      </c>
      <c r="G33" s="404">
        <v>1.5371999999999999</v>
      </c>
      <c r="H33" s="405">
        <f>G33*38.7</f>
        <v>59.489640000000001</v>
      </c>
      <c r="I33" s="181">
        <v>0.83</v>
      </c>
      <c r="J33" s="404">
        <f t="shared" si="2"/>
        <v>2.7947759999999997</v>
      </c>
      <c r="K33" s="405">
        <f t="shared" si="1"/>
        <v>108.1578312</v>
      </c>
      <c r="L33" s="404">
        <v>3.3672</v>
      </c>
      <c r="M33" s="405">
        <f>L33*38.7</f>
        <v>130.31064000000001</v>
      </c>
    </row>
    <row r="34" spans="1:13">
      <c r="A34" s="148" t="str">
        <f t="shared" si="0"/>
        <v>RadiologySubstantive A And C Band 3Radiology Admin</v>
      </c>
      <c r="B34" s="148" t="s">
        <v>541</v>
      </c>
      <c r="C34" s="148" t="s">
        <v>330</v>
      </c>
      <c r="D34" s="148" t="s">
        <v>211</v>
      </c>
      <c r="E34" s="148" t="s">
        <v>548</v>
      </c>
      <c r="F34" s="148" t="s">
        <v>547</v>
      </c>
      <c r="G34" s="404">
        <v>1.68</v>
      </c>
      <c r="H34" s="405">
        <f>G34*32.8</f>
        <v>55.103999999999992</v>
      </c>
      <c r="I34" s="181">
        <v>0.83</v>
      </c>
      <c r="J34" s="404">
        <f t="shared" si="2"/>
        <v>3.0543999999999998</v>
      </c>
      <c r="K34" s="405">
        <f t="shared" si="1"/>
        <v>100.18431999999997</v>
      </c>
      <c r="L34" s="404">
        <v>3.6799999999999997</v>
      </c>
      <c r="M34" s="405">
        <f>L34*32.8</f>
        <v>120.70399999999998</v>
      </c>
    </row>
    <row r="35" spans="1:13">
      <c r="A35" s="148" t="str">
        <f t="shared" si="0"/>
        <v>Medical and Medical Support StaffingSPR (Ward)Orthopaedic SpR</v>
      </c>
      <c r="B35" s="148" t="s">
        <v>549</v>
      </c>
      <c r="C35" s="148" t="s">
        <v>330</v>
      </c>
      <c r="D35" s="148" t="s">
        <v>214</v>
      </c>
      <c r="E35" s="148" t="s">
        <v>550</v>
      </c>
      <c r="F35" s="148" t="s">
        <v>551</v>
      </c>
      <c r="G35" s="404">
        <v>0.85399999999999998</v>
      </c>
      <c r="H35" s="405">
        <f>G35*84.4</f>
        <v>72.077600000000004</v>
      </c>
      <c r="I35" s="181">
        <v>0.79</v>
      </c>
      <c r="J35" s="404">
        <f t="shared" si="2"/>
        <v>1.0119899999999999</v>
      </c>
      <c r="K35" s="405">
        <f t="shared" si="1"/>
        <v>89.682553800000008</v>
      </c>
      <c r="L35" s="404">
        <v>1.2809999999999999</v>
      </c>
      <c r="M35" s="405">
        <f>L35*84.4*1.05</f>
        <v>113.52222</v>
      </c>
    </row>
    <row r="36" spans="1:13">
      <c r="A36" s="148" t="str">
        <f t="shared" si="0"/>
        <v>Medical and Medical Support StaffingSHO (Ward)Orthopaedic SHO</v>
      </c>
      <c r="B36" s="148" t="s">
        <v>549</v>
      </c>
      <c r="C36" s="148" t="s">
        <v>330</v>
      </c>
      <c r="D36" s="148" t="s">
        <v>214</v>
      </c>
      <c r="E36" s="148" t="s">
        <v>552</v>
      </c>
      <c r="F36" s="148" t="s">
        <v>553</v>
      </c>
      <c r="G36" s="404">
        <v>1.22</v>
      </c>
      <c r="H36" s="405">
        <f>G36*66.9</f>
        <v>81.618000000000009</v>
      </c>
      <c r="I36" s="181">
        <v>0.79</v>
      </c>
      <c r="J36" s="404">
        <f t="shared" si="2"/>
        <v>0.96379999999999999</v>
      </c>
      <c r="K36" s="405">
        <f t="shared" si="1"/>
        <v>67.702131000000008</v>
      </c>
      <c r="L36" s="404">
        <v>1.22</v>
      </c>
      <c r="M36" s="405">
        <f>L36*66.9*1.05</f>
        <v>85.698900000000009</v>
      </c>
    </row>
    <row r="37" spans="1:13">
      <c r="A37" s="148" t="str">
        <f t="shared" si="0"/>
        <v>Medical and Medical Support StaffingSubstantive Nursing Band 8a (Advance Nurse Practitioner)Surgical Advance Nurse Practitioner</v>
      </c>
      <c r="B37" s="148" t="s">
        <v>549</v>
      </c>
      <c r="C37" s="148" t="s">
        <v>330</v>
      </c>
      <c r="D37" s="148" t="s">
        <v>215</v>
      </c>
      <c r="E37" s="148" t="s">
        <v>554</v>
      </c>
      <c r="F37" s="148" t="s">
        <v>555</v>
      </c>
      <c r="G37" s="404">
        <v>1.8706666666666667</v>
      </c>
      <c r="H37" s="405">
        <f>67.6*G37</f>
        <v>126.45706666666666</v>
      </c>
      <c r="I37" s="181">
        <v>0.79</v>
      </c>
      <c r="J37" s="404">
        <f t="shared" si="2"/>
        <v>7.0293146666666662</v>
      </c>
      <c r="K37" s="405">
        <f t="shared" si="1"/>
        <v>411.91783946666669</v>
      </c>
      <c r="L37" s="404">
        <v>8.8978666666666655</v>
      </c>
      <c r="M37" s="405">
        <f>L37*58.6</f>
        <v>521.41498666666666</v>
      </c>
    </row>
    <row r="38" spans="1:13">
      <c r="A38" s="148" t="str">
        <f t="shared" si="0"/>
        <v>Medical and Medical Support StaffingSubstantive Physiotherapist B7 (Ward)Physiotherapist</v>
      </c>
      <c r="B38" s="148" t="s">
        <v>549</v>
      </c>
      <c r="C38" s="148" t="s">
        <v>330</v>
      </c>
      <c r="D38" s="148" t="s">
        <v>212</v>
      </c>
      <c r="E38" s="148" t="s">
        <v>556</v>
      </c>
      <c r="F38" s="148" t="s">
        <v>521</v>
      </c>
      <c r="G38" s="404">
        <v>0</v>
      </c>
      <c r="H38" s="405">
        <f>58.8*G38</f>
        <v>0</v>
      </c>
      <c r="I38" s="181">
        <v>0.79</v>
      </c>
      <c r="J38" s="404">
        <f t="shared" si="2"/>
        <v>0.79</v>
      </c>
      <c r="K38" s="405">
        <f t="shared" si="1"/>
        <v>46.451999999999998</v>
      </c>
      <c r="L38" s="404">
        <v>1</v>
      </c>
      <c r="M38" s="405">
        <f>58.8*L38</f>
        <v>58.8</v>
      </c>
    </row>
    <row r="39" spans="1:13">
      <c r="A39" s="148" t="str">
        <f t="shared" si="0"/>
        <v>Medical and Medical Support StaffingSurgeon (Theatres Consultant)Orthopaedic Consultant</v>
      </c>
      <c r="B39" s="148" t="s">
        <v>549</v>
      </c>
      <c r="C39" s="148" t="s">
        <v>330</v>
      </c>
      <c r="D39" s="148" t="s">
        <v>115</v>
      </c>
      <c r="E39" s="148" t="s">
        <v>557</v>
      </c>
      <c r="F39" s="148" t="s">
        <v>558</v>
      </c>
      <c r="G39" s="404">
        <v>6.3414634146341466</v>
      </c>
      <c r="H39" s="412">
        <f>G39*129.6</f>
        <v>821.85365853658539</v>
      </c>
      <c r="I39" s="181">
        <v>0.83</v>
      </c>
      <c r="J39" s="404">
        <f t="shared" si="2"/>
        <v>9.8250406504065033</v>
      </c>
      <c r="K39" s="405">
        <f t="shared" si="1"/>
        <v>1336.9915317073167</v>
      </c>
      <c r="L39" s="404">
        <v>11.837398373983739</v>
      </c>
      <c r="M39" s="412">
        <f>L39*129.6*1.05</f>
        <v>1610.833170731707</v>
      </c>
    </row>
    <row r="40" spans="1:13">
      <c r="A40" s="148" t="str">
        <f t="shared" si="0"/>
        <v>Medical and Medical Support StaffingSPR (Theatres)Orthopaedic SpR</v>
      </c>
      <c r="B40" s="148" t="s">
        <v>549</v>
      </c>
      <c r="C40" s="148" t="s">
        <v>330</v>
      </c>
      <c r="D40" s="148" t="s">
        <v>214</v>
      </c>
      <c r="E40" s="148" t="s">
        <v>559</v>
      </c>
      <c r="F40" s="148" t="s">
        <v>551</v>
      </c>
      <c r="G40" s="404">
        <v>6.3414634146341466</v>
      </c>
      <c r="H40" s="405">
        <f>G40*84.4</f>
        <v>535.21951219512198</v>
      </c>
      <c r="I40" s="181">
        <v>0.83</v>
      </c>
      <c r="J40" s="404">
        <f t="shared" si="2"/>
        <v>9.8250406504065033</v>
      </c>
      <c r="K40" s="405">
        <f t="shared" si="1"/>
        <v>870.69510243902437</v>
      </c>
      <c r="L40" s="404">
        <v>11.837398373983739</v>
      </c>
      <c r="M40" s="405">
        <f>L40*84.4*1.05</f>
        <v>1049.030243902439</v>
      </c>
    </row>
    <row r="41" spans="1:13">
      <c r="A41" s="148" t="str">
        <f t="shared" si="0"/>
        <v>Medical and Medical Support StaffingSPR (Theatres)Anaesthetic SpR</v>
      </c>
      <c r="B41" s="148" t="s">
        <v>549</v>
      </c>
      <c r="C41" s="148" t="s">
        <v>330</v>
      </c>
      <c r="D41" s="148" t="s">
        <v>214</v>
      </c>
      <c r="E41" s="148" t="s">
        <v>559</v>
      </c>
      <c r="F41" s="148" t="s">
        <v>560</v>
      </c>
      <c r="G41" s="404">
        <v>6.3414634146341466</v>
      </c>
      <c r="H41" s="405">
        <f>G41*84.4</f>
        <v>535.21951219512198</v>
      </c>
      <c r="I41" s="181">
        <v>0.83</v>
      </c>
      <c r="J41" s="404">
        <f t="shared" si="2"/>
        <v>9.8250406504065033</v>
      </c>
      <c r="K41" s="405">
        <f t="shared" si="1"/>
        <v>870.69510243902437</v>
      </c>
      <c r="L41" s="404">
        <v>11.837398373983739</v>
      </c>
      <c r="M41" s="405">
        <f>L41*84.4*1.05</f>
        <v>1049.030243902439</v>
      </c>
    </row>
    <row r="42" spans="1:13">
      <c r="A42" s="148" t="str">
        <f t="shared" si="0"/>
        <v>Medical and Medical Support StaffingAnaesthetist (Theatres Consultant)Anaesthetist</v>
      </c>
      <c r="B42" s="148" t="s">
        <v>549</v>
      </c>
      <c r="C42" s="148" t="s">
        <v>330</v>
      </c>
      <c r="D42" s="148" t="s">
        <v>115</v>
      </c>
      <c r="E42" s="148" t="s">
        <v>561</v>
      </c>
      <c r="F42" s="148" t="s">
        <v>562</v>
      </c>
      <c r="G42" s="404">
        <v>6.3414634146341466</v>
      </c>
      <c r="H42" s="412">
        <f>G42*129.6</f>
        <v>821.85365853658539</v>
      </c>
      <c r="I42" s="181">
        <v>0.83</v>
      </c>
      <c r="J42" s="404">
        <f t="shared" si="2"/>
        <v>9.8250406504065033</v>
      </c>
      <c r="K42" s="405">
        <f t="shared" si="1"/>
        <v>1336.9915317073167</v>
      </c>
      <c r="L42" s="404">
        <v>11.837398373983739</v>
      </c>
      <c r="M42" s="412">
        <f>L42*129.6*1.05</f>
        <v>1610.833170731707</v>
      </c>
    </row>
    <row r="43" spans="1:13">
      <c r="A43" s="148" t="str">
        <f t="shared" si="0"/>
        <v>Inpatient Ward Substantive Nursing Band 2Unqualified Ward Nurse</v>
      </c>
      <c r="B43" s="148" t="s">
        <v>563</v>
      </c>
      <c r="C43" s="148" t="s">
        <v>330</v>
      </c>
      <c r="D43" s="148" t="s">
        <v>215</v>
      </c>
      <c r="E43" s="148" t="s">
        <v>497</v>
      </c>
      <c r="F43" s="148" t="s">
        <v>564</v>
      </c>
      <c r="G43" s="404">
        <v>0</v>
      </c>
      <c r="H43" s="412">
        <v>0</v>
      </c>
      <c r="I43" s="181">
        <v>0.79</v>
      </c>
      <c r="J43" s="404">
        <f t="shared" si="2"/>
        <v>5.609</v>
      </c>
      <c r="K43" s="405">
        <f t="shared" si="1"/>
        <v>200.8022</v>
      </c>
      <c r="L43" s="404">
        <v>7.1</v>
      </c>
      <c r="M43" s="405">
        <f>35.8*L43</f>
        <v>254.17999999999998</v>
      </c>
    </row>
    <row r="44" spans="1:13">
      <c r="A44" s="148" t="str">
        <f t="shared" si="0"/>
        <v>Inpatient Ward Substantive Nursing Band 3Unqualified Ward Nurse</v>
      </c>
      <c r="B44" s="148" t="s">
        <v>563</v>
      </c>
      <c r="C44" s="148" t="s">
        <v>330</v>
      </c>
      <c r="D44" s="148" t="s">
        <v>215</v>
      </c>
      <c r="E44" s="148" t="s">
        <v>565</v>
      </c>
      <c r="F44" s="148" t="s">
        <v>564</v>
      </c>
      <c r="G44" s="404">
        <v>0</v>
      </c>
      <c r="H44" s="412">
        <v>0</v>
      </c>
      <c r="I44" s="181">
        <v>0.79</v>
      </c>
      <c r="J44" s="404">
        <f t="shared" si="2"/>
        <v>3.0019999999999998</v>
      </c>
      <c r="K44" s="405">
        <f t="shared" si="1"/>
        <v>108.73244</v>
      </c>
      <c r="L44" s="404">
        <v>3.8</v>
      </c>
      <c r="M44" s="405">
        <f>36.22*L44</f>
        <v>137.636</v>
      </c>
    </row>
    <row r="45" spans="1:13">
      <c r="A45" s="148" t="str">
        <f t="shared" si="0"/>
        <v>Inpatient Ward Substantive Nursing Band 4Unqualified Ward Nurse</v>
      </c>
      <c r="B45" s="148" t="s">
        <v>563</v>
      </c>
      <c r="C45" s="148" t="s">
        <v>330</v>
      </c>
      <c r="D45" s="148" t="s">
        <v>215</v>
      </c>
      <c r="E45" s="148" t="s">
        <v>566</v>
      </c>
      <c r="F45" s="148" t="s">
        <v>564</v>
      </c>
      <c r="G45" s="404">
        <v>0</v>
      </c>
      <c r="H45" s="412">
        <v>0</v>
      </c>
      <c r="I45" s="181">
        <v>0.79</v>
      </c>
      <c r="J45" s="404">
        <f t="shared" si="2"/>
        <v>0.94799999999999995</v>
      </c>
      <c r="K45" s="405">
        <f t="shared" si="1"/>
        <v>32.895600000000002</v>
      </c>
      <c r="L45" s="404">
        <v>1.2</v>
      </c>
      <c r="M45" s="405">
        <f>34.7*L45</f>
        <v>41.64</v>
      </c>
    </row>
    <row r="46" spans="1:13">
      <c r="A46" s="148" t="str">
        <f t="shared" si="0"/>
        <v>Inpatient Ward Substantive Nursing Band 5Qualified Ward Nurse</v>
      </c>
      <c r="B46" s="148" t="s">
        <v>563</v>
      </c>
      <c r="C46" s="148" t="s">
        <v>330</v>
      </c>
      <c r="D46" s="148" t="s">
        <v>215</v>
      </c>
      <c r="E46" s="148" t="s">
        <v>503</v>
      </c>
      <c r="F46" s="148" t="s">
        <v>567</v>
      </c>
      <c r="G46" s="404">
        <v>0</v>
      </c>
      <c r="H46" s="412">
        <v>0</v>
      </c>
      <c r="I46" s="181">
        <v>0.79</v>
      </c>
      <c r="J46" s="404">
        <f t="shared" si="2"/>
        <v>16.59</v>
      </c>
      <c r="K46" s="405">
        <f t="shared" si="1"/>
        <v>739.9140000000001</v>
      </c>
      <c r="L46" s="404">
        <v>21</v>
      </c>
      <c r="M46" s="405">
        <f>44.6*L46</f>
        <v>936.6</v>
      </c>
    </row>
    <row r="47" spans="1:13">
      <c r="A47" s="148" t="str">
        <f t="shared" si="0"/>
        <v>Inpatient Ward Substantive Nursing Band 6Qualified Ward Nurse</v>
      </c>
      <c r="B47" s="148" t="s">
        <v>563</v>
      </c>
      <c r="C47" s="148" t="s">
        <v>330</v>
      </c>
      <c r="D47" s="148" t="s">
        <v>215</v>
      </c>
      <c r="E47" s="148" t="s">
        <v>495</v>
      </c>
      <c r="F47" s="148" t="s">
        <v>567</v>
      </c>
      <c r="G47" s="404">
        <v>0</v>
      </c>
      <c r="H47" s="412">
        <v>0</v>
      </c>
      <c r="I47" s="181">
        <v>0.79</v>
      </c>
      <c r="J47" s="404">
        <f t="shared" si="2"/>
        <v>4.1080000000000005</v>
      </c>
      <c r="K47" s="405">
        <f t="shared" si="1"/>
        <v>239.08560000000006</v>
      </c>
      <c r="L47" s="404">
        <v>5.2</v>
      </c>
      <c r="M47" s="405">
        <f>58.2*L47</f>
        <v>302.64000000000004</v>
      </c>
    </row>
    <row r="48" spans="1:13">
      <c r="A48" s="148" t="str">
        <f t="shared" si="0"/>
        <v>Inpatient Ward Substantive Nursing Band 7Ward Manager</v>
      </c>
      <c r="B48" s="148" t="s">
        <v>563</v>
      </c>
      <c r="C48" s="148" t="s">
        <v>330</v>
      </c>
      <c r="D48" s="148" t="s">
        <v>215</v>
      </c>
      <c r="E48" s="148" t="s">
        <v>499</v>
      </c>
      <c r="F48" s="148" t="s">
        <v>568</v>
      </c>
      <c r="G48" s="404">
        <v>0</v>
      </c>
      <c r="H48" s="412">
        <v>0</v>
      </c>
      <c r="I48" s="181">
        <v>0.79</v>
      </c>
      <c r="J48" s="404">
        <f t="shared" si="2"/>
        <v>1.58</v>
      </c>
      <c r="K48" s="405">
        <f t="shared" si="1"/>
        <v>92.903999999999996</v>
      </c>
      <c r="L48" s="404">
        <v>2</v>
      </c>
      <c r="M48" s="405">
        <f>58.8*L48</f>
        <v>117.6</v>
      </c>
    </row>
    <row r="49" spans="1:13">
      <c r="A49" s="148" t="str">
        <f t="shared" si="0"/>
        <v>Inpatient Ward Substantive Nursing Band 8aMatron</v>
      </c>
      <c r="B49" s="148" t="s">
        <v>563</v>
      </c>
      <c r="C49" s="148" t="s">
        <v>330</v>
      </c>
      <c r="D49" s="148" t="s">
        <v>215</v>
      </c>
      <c r="E49" s="148" t="s">
        <v>569</v>
      </c>
      <c r="F49" s="148" t="s">
        <v>570</v>
      </c>
      <c r="G49" s="404">
        <v>0</v>
      </c>
      <c r="H49" s="412">
        <v>0</v>
      </c>
      <c r="I49" s="181">
        <v>0.79</v>
      </c>
      <c r="J49" s="404">
        <f t="shared" si="2"/>
        <v>0.94799999999999995</v>
      </c>
      <c r="K49" s="405">
        <f t="shared" si="1"/>
        <v>64.084800000000001</v>
      </c>
      <c r="L49" s="404">
        <v>1.2</v>
      </c>
      <c r="M49" s="405">
        <f>67.6*L49</f>
        <v>81.11999999999999</v>
      </c>
    </row>
    <row r="50" spans="1:13">
      <c r="A50" s="148" t="str">
        <f t="shared" si="0"/>
        <v>Post Anaesthetic Care UnitSubstantive Nursing Band 7PACU Nurse Qualified</v>
      </c>
      <c r="B50" s="148" t="s">
        <v>571</v>
      </c>
      <c r="C50" s="148" t="s">
        <v>330</v>
      </c>
      <c r="D50" s="148" t="s">
        <v>215</v>
      </c>
      <c r="E50" s="148" t="s">
        <v>499</v>
      </c>
      <c r="F50" s="148" t="s">
        <v>572</v>
      </c>
      <c r="G50" s="404">
        <v>0</v>
      </c>
      <c r="H50" s="412">
        <v>0</v>
      </c>
      <c r="I50" s="181">
        <v>0.79</v>
      </c>
      <c r="J50" s="404">
        <f t="shared" si="2"/>
        <v>2.0935000000000001</v>
      </c>
      <c r="K50" s="405">
        <f t="shared" si="1"/>
        <v>123.09780000000001</v>
      </c>
      <c r="L50" s="404">
        <v>2.65</v>
      </c>
      <c r="M50" s="405">
        <f>58.8*L50</f>
        <v>155.82</v>
      </c>
    </row>
    <row r="51" spans="1:13">
      <c r="A51" s="148" t="str">
        <f t="shared" si="0"/>
        <v>Post Anaesthetic Care UnitSubstantive Nursing Band 6PACU Nurse Qualified</v>
      </c>
      <c r="B51" s="148" t="s">
        <v>571</v>
      </c>
      <c r="C51" s="148" t="s">
        <v>330</v>
      </c>
      <c r="D51" s="148" t="s">
        <v>215</v>
      </c>
      <c r="E51" s="148" t="s">
        <v>495</v>
      </c>
      <c r="F51" s="148" t="s">
        <v>572</v>
      </c>
      <c r="G51" s="404">
        <v>0</v>
      </c>
      <c r="H51" s="412">
        <v>0</v>
      </c>
      <c r="I51" s="181">
        <v>0.79</v>
      </c>
      <c r="J51" s="404">
        <f t="shared" si="2"/>
        <v>4.5425000000000004</v>
      </c>
      <c r="K51" s="405">
        <f t="shared" si="1"/>
        <v>270.733</v>
      </c>
      <c r="L51" s="404">
        <v>5.75</v>
      </c>
      <c r="M51" s="405">
        <f>L51*59.6</f>
        <v>342.7</v>
      </c>
    </row>
    <row r="52" spans="1:13">
      <c r="A52" s="148" t="str">
        <f t="shared" si="0"/>
        <v>Post Anaesthetic Care UnitSubstantive Nursing Band 5PACU Nurse Qualified</v>
      </c>
      <c r="B52" s="148" t="s">
        <v>571</v>
      </c>
      <c r="C52" s="148" t="s">
        <v>330</v>
      </c>
      <c r="D52" s="148" t="s">
        <v>215</v>
      </c>
      <c r="E52" s="148" t="s">
        <v>503</v>
      </c>
      <c r="F52" s="148" t="s">
        <v>572</v>
      </c>
      <c r="G52" s="404">
        <v>0</v>
      </c>
      <c r="H52" s="412">
        <v>0</v>
      </c>
      <c r="I52" s="181">
        <v>0.79</v>
      </c>
      <c r="J52" s="404">
        <f t="shared" si="2"/>
        <v>4.5030000000000001</v>
      </c>
      <c r="K52" s="405">
        <f t="shared" si="1"/>
        <v>203.98589999999999</v>
      </c>
      <c r="L52" s="404">
        <v>5.7</v>
      </c>
      <c r="M52" s="405">
        <f>45.3*L52</f>
        <v>258.20999999999998</v>
      </c>
    </row>
    <row r="53" spans="1:13">
      <c r="A53" s="148" t="str">
        <f t="shared" si="0"/>
        <v>Post Anaesthetic Care UnitSubstantive Nursing Band 2PACU Nurse Unqualified</v>
      </c>
      <c r="B53" s="148" t="s">
        <v>571</v>
      </c>
      <c r="C53" s="148" t="s">
        <v>330</v>
      </c>
      <c r="D53" s="148" t="s">
        <v>215</v>
      </c>
      <c r="E53" s="148" t="s">
        <v>497</v>
      </c>
      <c r="F53" s="148" t="s">
        <v>573</v>
      </c>
      <c r="G53" s="404">
        <v>0</v>
      </c>
      <c r="H53" s="412">
        <v>0</v>
      </c>
      <c r="I53" s="181">
        <v>0.79</v>
      </c>
      <c r="J53" s="404">
        <f t="shared" si="2"/>
        <v>2.0540000000000003</v>
      </c>
      <c r="K53" s="405">
        <f t="shared" si="1"/>
        <v>76.408800000000014</v>
      </c>
      <c r="L53" s="404">
        <v>2.6</v>
      </c>
      <c r="M53" s="405">
        <f>L53*37.2</f>
        <v>96.720000000000013</v>
      </c>
    </row>
    <row r="54" spans="1:13">
      <c r="A54" s="148" t="str">
        <f t="shared" si="0"/>
        <v>Post Anaesthetic Care UnitSubstantive Physiotherapist B7Physiotherapist</v>
      </c>
      <c r="B54" s="148" t="s">
        <v>571</v>
      </c>
      <c r="C54" s="148" t="s">
        <v>330</v>
      </c>
      <c r="D54" s="148" t="s">
        <v>212</v>
      </c>
      <c r="E54" s="148" t="s">
        <v>520</v>
      </c>
      <c r="F54" s="148" t="s">
        <v>521</v>
      </c>
      <c r="G54" s="404">
        <v>0</v>
      </c>
      <c r="H54" s="412">
        <v>0</v>
      </c>
      <c r="I54" s="181">
        <v>0.79</v>
      </c>
      <c r="J54" s="404">
        <f t="shared" si="2"/>
        <v>0.39500000000000002</v>
      </c>
      <c r="K54" s="405">
        <f t="shared" si="1"/>
        <v>23.225999999999999</v>
      </c>
      <c r="L54" s="404">
        <v>0.5</v>
      </c>
      <c r="M54" s="405">
        <f>58.8*L54</f>
        <v>29.4</v>
      </c>
    </row>
    <row r="55" spans="1:13">
      <c r="A55" s="148" t="str">
        <f t="shared" si="0"/>
        <v xml:space="preserve">Post Anaesthetic Care UnitSubstantive Pharmacist Band 8aPharmacist </v>
      </c>
      <c r="B55" s="148" t="s">
        <v>571</v>
      </c>
      <c r="C55" s="148" t="s">
        <v>330</v>
      </c>
      <c r="D55" s="148" t="s">
        <v>216</v>
      </c>
      <c r="E55" s="148" t="s">
        <v>512</v>
      </c>
      <c r="F55" s="148" t="s">
        <v>513</v>
      </c>
      <c r="G55" s="404">
        <v>0</v>
      </c>
      <c r="H55" s="412">
        <v>0</v>
      </c>
      <c r="I55" s="181">
        <v>0.79</v>
      </c>
      <c r="J55" s="404">
        <f t="shared" si="2"/>
        <v>0.19750000000000001</v>
      </c>
      <c r="K55" s="405">
        <f t="shared" si="1"/>
        <v>11.573500000000001</v>
      </c>
      <c r="L55" s="404">
        <v>0.25</v>
      </c>
      <c r="M55" s="405">
        <f>L55*58.6</f>
        <v>14.65</v>
      </c>
    </row>
    <row r="56" spans="1:13">
      <c r="A56" s="148" t="str">
        <f t="shared" si="0"/>
        <v>Inpatient Ward Substantive Nursing Band 2Unqualified Ward Nurse</v>
      </c>
      <c r="B56" s="148" t="s">
        <v>563</v>
      </c>
      <c r="C56" s="148" t="s">
        <v>330</v>
      </c>
      <c r="D56" s="148" t="s">
        <v>215</v>
      </c>
      <c r="E56" s="148" t="s">
        <v>497</v>
      </c>
      <c r="F56" s="148" t="s">
        <v>564</v>
      </c>
      <c r="G56" s="404">
        <v>9.44</v>
      </c>
      <c r="H56" s="412">
        <f>M56/L56*G56</f>
        <v>337.95199999999994</v>
      </c>
      <c r="I56" s="181">
        <v>0.79</v>
      </c>
      <c r="J56" s="404">
        <f t="shared" si="2"/>
        <v>8.2757984621398855</v>
      </c>
      <c r="K56" s="405">
        <f t="shared" si="1"/>
        <v>296.27358494460782</v>
      </c>
      <c r="L56" s="404">
        <v>10.475694255873272</v>
      </c>
      <c r="M56" s="405">
        <f>35.8*L56</f>
        <v>375.02985436026307</v>
      </c>
    </row>
    <row r="57" spans="1:13">
      <c r="A57" s="148" t="str">
        <f t="shared" si="0"/>
        <v>Inpatient Ward Substantive Nursing Band 4Unqualified Ward Nurse</v>
      </c>
      <c r="B57" s="148" t="s">
        <v>563</v>
      </c>
      <c r="C57" s="148" t="s">
        <v>330</v>
      </c>
      <c r="D57" s="148" t="s">
        <v>215</v>
      </c>
      <c r="E57" s="148" t="s">
        <v>566</v>
      </c>
      <c r="F57" s="148" t="s">
        <v>564</v>
      </c>
      <c r="G57" s="404">
        <v>0</v>
      </c>
      <c r="H57" s="412">
        <v>0</v>
      </c>
      <c r="I57" s="181">
        <v>0.79</v>
      </c>
      <c r="J57" s="404">
        <f t="shared" si="2"/>
        <v>0</v>
      </c>
      <c r="K57" s="405">
        <f t="shared" si="1"/>
        <v>0</v>
      </c>
      <c r="L57" s="404">
        <v>0</v>
      </c>
      <c r="M57" s="405">
        <v>0</v>
      </c>
    </row>
    <row r="58" spans="1:13">
      <c r="A58" s="148" t="str">
        <f t="shared" si="0"/>
        <v>Inpatient Ward Substantive Nursing Band 5Qualified Ward Nurse</v>
      </c>
      <c r="B58" s="148" t="s">
        <v>563</v>
      </c>
      <c r="C58" s="148" t="s">
        <v>330</v>
      </c>
      <c r="D58" s="148" t="s">
        <v>215</v>
      </c>
      <c r="E58" s="148" t="s">
        <v>503</v>
      </c>
      <c r="F58" s="148" t="s">
        <v>567</v>
      </c>
      <c r="G58" s="404">
        <v>11.720000000000002</v>
      </c>
      <c r="H58" s="412">
        <f>M58/L58*G58</f>
        <v>522.7120000000001</v>
      </c>
      <c r="I58" s="181">
        <v>0.79</v>
      </c>
      <c r="J58" s="404">
        <f t="shared" si="2"/>
        <v>16.725393329032084</v>
      </c>
      <c r="K58" s="405">
        <f t="shared" si="1"/>
        <v>745.95254247483103</v>
      </c>
      <c r="L58" s="404">
        <v>21.171383960800107</v>
      </c>
      <c r="M58" s="405">
        <f>44.6*L58</f>
        <v>944.24372465168483</v>
      </c>
    </row>
    <row r="59" spans="1:13">
      <c r="A59" s="148" t="str">
        <f t="shared" si="0"/>
        <v>Inpatient Ward Substantive Nursing Band 6Qualified Ward Nurse</v>
      </c>
      <c r="B59" s="148" t="s">
        <v>563</v>
      </c>
      <c r="C59" s="148" t="s">
        <v>330</v>
      </c>
      <c r="D59" s="148" t="s">
        <v>215</v>
      </c>
      <c r="E59" s="148" t="s">
        <v>495</v>
      </c>
      <c r="F59" s="148" t="s">
        <v>567</v>
      </c>
      <c r="G59" s="404">
        <v>5.1520000000000001</v>
      </c>
      <c r="H59" s="412">
        <f>M59/L59*G59</f>
        <v>299.84640000000007</v>
      </c>
      <c r="I59" s="181">
        <v>0.79</v>
      </c>
      <c r="J59" s="404">
        <f t="shared" si="2"/>
        <v>4.1378992310699427</v>
      </c>
      <c r="K59" s="405">
        <f t="shared" si="1"/>
        <v>240.82573524827069</v>
      </c>
      <c r="L59" s="404">
        <v>5.2378471279366359</v>
      </c>
      <c r="M59" s="405">
        <f>58.2*L59</f>
        <v>304.84270284591224</v>
      </c>
    </row>
    <row r="60" spans="1:13">
      <c r="A60" s="148" t="str">
        <f t="shared" si="0"/>
        <v>Inpatient Ward Substantive Nursing Band 7Ward Manager</v>
      </c>
      <c r="B60" s="148" t="s">
        <v>563</v>
      </c>
      <c r="C60" s="148" t="s">
        <v>330</v>
      </c>
      <c r="D60" s="148" t="s">
        <v>215</v>
      </c>
      <c r="E60" s="148" t="s">
        <v>499</v>
      </c>
      <c r="F60" s="148" t="s">
        <v>568</v>
      </c>
      <c r="G60" s="404">
        <v>1</v>
      </c>
      <c r="H60" s="412">
        <f>M60/L60*G60</f>
        <v>58.8</v>
      </c>
      <c r="I60" s="181">
        <v>0.79</v>
      </c>
      <c r="J60" s="404">
        <f t="shared" si="2"/>
        <v>0.79</v>
      </c>
      <c r="K60" s="405">
        <f t="shared" si="1"/>
        <v>46.451999999999998</v>
      </c>
      <c r="L60" s="404">
        <v>1</v>
      </c>
      <c r="M60" s="405">
        <v>58.8</v>
      </c>
    </row>
    <row r="61" spans="1:13">
      <c r="A61" s="148" t="str">
        <f t="shared" si="0"/>
        <v>Inpatient Ward Substantive Nursing Band 8aMatron</v>
      </c>
      <c r="B61" s="148" t="s">
        <v>563</v>
      </c>
      <c r="C61" s="148" t="s">
        <v>330</v>
      </c>
      <c r="D61" s="148" t="s">
        <v>215</v>
      </c>
      <c r="E61" s="148" t="s">
        <v>569</v>
      </c>
      <c r="F61" s="148" t="s">
        <v>570</v>
      </c>
      <c r="G61" s="404">
        <v>0.5</v>
      </c>
      <c r="H61" s="412">
        <f>M61/L61*G61</f>
        <v>33.799999999999997</v>
      </c>
      <c r="I61" s="181">
        <v>0.79</v>
      </c>
      <c r="J61" s="404">
        <f t="shared" si="2"/>
        <v>0.39500000000000002</v>
      </c>
      <c r="K61" s="405">
        <f t="shared" si="1"/>
        <v>26.701999999999998</v>
      </c>
      <c r="L61" s="404">
        <v>0.5</v>
      </c>
      <c r="M61" s="405">
        <f>67.6*L61</f>
        <v>33.799999999999997</v>
      </c>
    </row>
    <row r="62" spans="1:13" s="407" customFormat="1">
      <c r="A62" s="407" t="str">
        <f t="shared" si="0"/>
        <v>Day Care WardSubstantive Nursing Band 2Unqualified Ward Nurse</v>
      </c>
      <c r="B62" s="407" t="s">
        <v>574</v>
      </c>
      <c r="C62" s="407" t="s">
        <v>330</v>
      </c>
      <c r="D62" s="407" t="s">
        <v>215</v>
      </c>
      <c r="E62" s="407" t="s">
        <v>497</v>
      </c>
      <c r="F62" s="407" t="s">
        <v>564</v>
      </c>
      <c r="G62" s="408">
        <v>6.7343999999999991</v>
      </c>
      <c r="H62" s="413">
        <f>M62</f>
        <v>210.78671999999997</v>
      </c>
      <c r="I62" s="410">
        <f>J62/L62</f>
        <v>1</v>
      </c>
      <c r="J62" s="408">
        <f>L62</f>
        <v>6.7343999999999991</v>
      </c>
      <c r="K62" s="409">
        <f t="shared" si="1"/>
        <v>210.78671999999997</v>
      </c>
      <c r="L62" s="408">
        <v>6.7343999999999991</v>
      </c>
      <c r="M62" s="409">
        <f>31.3*L62</f>
        <v>210.78671999999997</v>
      </c>
    </row>
    <row r="63" spans="1:13" s="407" customFormat="1">
      <c r="A63" s="407" t="str">
        <f t="shared" si="0"/>
        <v>Day Care WardSubstantive Nursing Band 5Qualified Ward Nurse</v>
      </c>
      <c r="B63" s="407" t="s">
        <v>574</v>
      </c>
      <c r="C63" s="407" t="s">
        <v>330</v>
      </c>
      <c r="D63" s="407" t="s">
        <v>215</v>
      </c>
      <c r="E63" s="407" t="s">
        <v>503</v>
      </c>
      <c r="F63" s="407" t="s">
        <v>567</v>
      </c>
      <c r="G63" s="408">
        <v>8.9792000000000005</v>
      </c>
      <c r="H63" s="413">
        <f>M63</f>
        <v>378.92224000000004</v>
      </c>
      <c r="I63" s="410">
        <f>J63/L63</f>
        <v>1</v>
      </c>
      <c r="J63" s="408">
        <f>L63</f>
        <v>8.9792000000000005</v>
      </c>
      <c r="K63" s="409">
        <f t="shared" si="1"/>
        <v>378.92224000000004</v>
      </c>
      <c r="L63" s="408">
        <v>8.9792000000000005</v>
      </c>
      <c r="M63" s="409">
        <f>L63*42.2</f>
        <v>378.92224000000004</v>
      </c>
    </row>
    <row r="64" spans="1:13" s="407" customFormat="1">
      <c r="A64" s="407" t="str">
        <f t="shared" si="0"/>
        <v>Day Care WardSubstantive Nursing Band 6Qualified Ward Nurse</v>
      </c>
      <c r="B64" s="407" t="s">
        <v>574</v>
      </c>
      <c r="C64" s="407" t="s">
        <v>330</v>
      </c>
      <c r="D64" s="407" t="s">
        <v>215</v>
      </c>
      <c r="E64" s="407" t="s">
        <v>495</v>
      </c>
      <c r="F64" s="407" t="s">
        <v>567</v>
      </c>
      <c r="G64" s="408">
        <v>6.7343999999999991</v>
      </c>
      <c r="H64" s="413">
        <f>M64</f>
        <v>325.94495999999992</v>
      </c>
      <c r="I64" s="410">
        <f>J64/L64</f>
        <v>1</v>
      </c>
      <c r="J64" s="408">
        <f>L64</f>
        <v>6.7343999999999991</v>
      </c>
      <c r="K64" s="409">
        <f t="shared" si="1"/>
        <v>325.94495999999992</v>
      </c>
      <c r="L64" s="408">
        <v>6.7343999999999991</v>
      </c>
      <c r="M64" s="409">
        <f>48.4*L64</f>
        <v>325.94495999999992</v>
      </c>
    </row>
    <row r="65" spans="1:13" s="407" customFormat="1">
      <c r="A65" s="407" t="str">
        <f t="shared" si="0"/>
        <v>Day Care WardSubstantive Nursing Band 7Ward Manager</v>
      </c>
      <c r="B65" s="407" t="s">
        <v>574</v>
      </c>
      <c r="C65" s="407" t="s">
        <v>330</v>
      </c>
      <c r="D65" s="407" t="s">
        <v>215</v>
      </c>
      <c r="E65" s="407" t="s">
        <v>499</v>
      </c>
      <c r="F65" s="407" t="s">
        <v>568</v>
      </c>
      <c r="G65" s="408">
        <v>1</v>
      </c>
      <c r="H65" s="413">
        <f>M65</f>
        <v>58.5</v>
      </c>
      <c r="I65" s="410">
        <f>J65/L65</f>
        <v>1</v>
      </c>
      <c r="J65" s="408">
        <f>L65</f>
        <v>1</v>
      </c>
      <c r="K65" s="409">
        <f t="shared" si="1"/>
        <v>58.5</v>
      </c>
      <c r="L65" s="408">
        <v>1</v>
      </c>
      <c r="M65" s="409">
        <v>58.5</v>
      </c>
    </row>
    <row r="66" spans="1:13" s="407" customFormat="1">
      <c r="A66" s="407" t="str">
        <f t="shared" si="0"/>
        <v>Management and AdminSubstantive Nursing Band 7Orthopaedic Nurse Specialist</v>
      </c>
      <c r="B66" s="407" t="s">
        <v>575</v>
      </c>
      <c r="C66" s="407" t="s">
        <v>330</v>
      </c>
      <c r="D66" s="407" t="s">
        <v>215</v>
      </c>
      <c r="E66" s="407" t="s">
        <v>499</v>
      </c>
      <c r="F66" s="407" t="s">
        <v>500</v>
      </c>
      <c r="G66" s="408">
        <v>1</v>
      </c>
      <c r="H66" s="413">
        <f>M66/L66*G66</f>
        <v>58.8</v>
      </c>
      <c r="I66" s="410">
        <f>J66/L66</f>
        <v>0.5</v>
      </c>
      <c r="J66" s="408">
        <v>1</v>
      </c>
      <c r="K66" s="409">
        <f t="shared" si="1"/>
        <v>58.8</v>
      </c>
      <c r="L66" s="408">
        <v>2</v>
      </c>
      <c r="M66" s="409">
        <f>58.8*L66</f>
        <v>117.6</v>
      </c>
    </row>
    <row r="67" spans="1:13">
      <c r="A67" s="148" t="str">
        <f t="shared" si="0"/>
        <v>Management and AdminConsultantClinical Lead</v>
      </c>
      <c r="B67" s="148" t="s">
        <v>575</v>
      </c>
      <c r="C67" s="148" t="s">
        <v>330</v>
      </c>
      <c r="D67" s="148" t="s">
        <v>115</v>
      </c>
      <c r="E67" s="148" t="s">
        <v>115</v>
      </c>
      <c r="F67" s="148" t="s">
        <v>610</v>
      </c>
      <c r="G67" s="404">
        <v>0.1</v>
      </c>
      <c r="H67" s="412">
        <f>G67*129.6</f>
        <v>12.96</v>
      </c>
      <c r="I67" s="181">
        <v>1</v>
      </c>
      <c r="J67" s="404">
        <f t="shared" ref="J67:J88" si="3">L67*I67</f>
        <v>0</v>
      </c>
      <c r="K67" s="405">
        <f t="shared" si="1"/>
        <v>0</v>
      </c>
      <c r="L67" s="404">
        <v>0</v>
      </c>
      <c r="M67" s="405">
        <v>0</v>
      </c>
    </row>
    <row r="68" spans="1:13">
      <c r="A68" s="148" t="str">
        <f t="shared" si="0"/>
        <v>Management and AdminSubstantive Management Band 8aAssistant General Manager</v>
      </c>
      <c r="B68" s="148" t="s">
        <v>575</v>
      </c>
      <c r="C68" s="148" t="s">
        <v>330</v>
      </c>
      <c r="D68" s="148" t="s">
        <v>213</v>
      </c>
      <c r="E68" s="148" t="s">
        <v>611</v>
      </c>
      <c r="F68" s="148" t="s">
        <v>612</v>
      </c>
      <c r="G68" s="404">
        <v>0.3</v>
      </c>
      <c r="H68" s="405">
        <f>67.6*G68</f>
        <v>20.279999999999998</v>
      </c>
      <c r="I68" s="181">
        <v>1</v>
      </c>
      <c r="J68" s="404">
        <f t="shared" si="3"/>
        <v>0</v>
      </c>
      <c r="K68" s="405">
        <f t="shared" ref="K68:K88" si="4">M68*I68</f>
        <v>0</v>
      </c>
      <c r="L68" s="404">
        <v>0</v>
      </c>
      <c r="M68" s="405">
        <v>0</v>
      </c>
    </row>
    <row r="69" spans="1:13">
      <c r="A69" s="148" t="str">
        <f t="shared" si="0"/>
        <v>Management and AdminSubstantive Management Band 6Assistant Service Manager</v>
      </c>
      <c r="B69" s="148" t="s">
        <v>575</v>
      </c>
      <c r="C69" s="148" t="s">
        <v>330</v>
      </c>
      <c r="D69" s="148" t="s">
        <v>213</v>
      </c>
      <c r="E69" s="148" t="s">
        <v>576</v>
      </c>
      <c r="F69" s="148" t="s">
        <v>577</v>
      </c>
      <c r="G69" s="404">
        <v>0.5</v>
      </c>
      <c r="H69" s="405">
        <f>G69*48.4</f>
        <v>24.2</v>
      </c>
      <c r="I69" s="181">
        <v>1</v>
      </c>
      <c r="J69" s="404">
        <f t="shared" si="3"/>
        <v>1</v>
      </c>
      <c r="K69" s="405">
        <f t="shared" si="4"/>
        <v>48.4</v>
      </c>
      <c r="L69" s="404">
        <v>1</v>
      </c>
      <c r="M69" s="405">
        <f>L69*48.4</f>
        <v>48.4</v>
      </c>
    </row>
    <row r="70" spans="1:13">
      <c r="A70" s="148" t="str">
        <f t="shared" ref="A70:A88" si="5">B70&amp;E70&amp;F70</f>
        <v>Management and AdminSubstantive A And C Band 4Schedulers</v>
      </c>
      <c r="B70" s="148" t="s">
        <v>575</v>
      </c>
      <c r="C70" s="148" t="s">
        <v>330</v>
      </c>
      <c r="D70" s="148" t="s">
        <v>211</v>
      </c>
      <c r="E70" s="148" t="s">
        <v>579</v>
      </c>
      <c r="F70" s="148" t="s">
        <v>578</v>
      </c>
      <c r="G70" s="404">
        <v>4</v>
      </c>
      <c r="H70" s="405">
        <f>34.7*G70</f>
        <v>138.80000000000001</v>
      </c>
      <c r="I70" s="181">
        <v>0.83</v>
      </c>
      <c r="J70" s="404">
        <f t="shared" si="3"/>
        <v>7.4865999999999993</v>
      </c>
      <c r="K70" s="405">
        <f t="shared" si="4"/>
        <v>259.78502000000003</v>
      </c>
      <c r="L70" s="404">
        <v>9.02</v>
      </c>
      <c r="M70" s="405">
        <f>34.7*L70</f>
        <v>312.99400000000003</v>
      </c>
    </row>
    <row r="71" spans="1:13">
      <c r="A71" s="148" t="str">
        <f t="shared" si="5"/>
        <v xml:space="preserve">Management and AdminSubstantive A And C Band 4Ordering </v>
      </c>
      <c r="B71" s="148" t="s">
        <v>575</v>
      </c>
      <c r="C71" s="148" t="s">
        <v>330</v>
      </c>
      <c r="D71" s="148" t="s">
        <v>211</v>
      </c>
      <c r="E71" s="148" t="s">
        <v>579</v>
      </c>
      <c r="F71" s="148" t="s">
        <v>580</v>
      </c>
      <c r="G71" s="404">
        <v>0.4</v>
      </c>
      <c r="H71" s="405">
        <f>34.7*G71</f>
        <v>13.880000000000003</v>
      </c>
      <c r="I71" s="181">
        <v>0.83</v>
      </c>
      <c r="J71" s="404">
        <f t="shared" si="3"/>
        <v>0.87316000000000005</v>
      </c>
      <c r="K71" s="405">
        <f t="shared" si="4"/>
        <v>30.298652000000001</v>
      </c>
      <c r="L71" s="404">
        <v>1.052</v>
      </c>
      <c r="M71" s="405">
        <f>34.7*L71</f>
        <v>36.504400000000004</v>
      </c>
    </row>
    <row r="72" spans="1:13">
      <c r="A72" s="148" t="str">
        <f t="shared" si="5"/>
        <v>Management and AdminSubstantive A and C Band 5Rota Coordinator</v>
      </c>
      <c r="B72" s="148" t="s">
        <v>575</v>
      </c>
      <c r="C72" s="148" t="s">
        <v>330</v>
      </c>
      <c r="D72" s="148" t="s">
        <v>211</v>
      </c>
      <c r="E72" s="148" t="s">
        <v>581</v>
      </c>
      <c r="F72" s="148" t="s">
        <v>582</v>
      </c>
      <c r="G72" s="404">
        <v>0.65</v>
      </c>
      <c r="H72" s="405">
        <f>G72*38.7</f>
        <v>25.155000000000001</v>
      </c>
      <c r="I72" s="181">
        <v>0.83</v>
      </c>
      <c r="J72" s="404">
        <f t="shared" si="3"/>
        <v>1.052025</v>
      </c>
      <c r="K72" s="405">
        <f t="shared" si="4"/>
        <v>40.713367500000004</v>
      </c>
      <c r="L72" s="404">
        <v>1.2675000000000001</v>
      </c>
      <c r="M72" s="405">
        <f>L72*38.7</f>
        <v>49.052250000000008</v>
      </c>
    </row>
    <row r="73" spans="1:13">
      <c r="A73" s="148" t="str">
        <f t="shared" si="5"/>
        <v>Management and AdminSubstantive Nursing Band 8dHead of Nursing</v>
      </c>
      <c r="B73" s="148" t="s">
        <v>575</v>
      </c>
      <c r="C73" s="148" t="s">
        <v>330</v>
      </c>
      <c r="D73" s="148" t="s">
        <v>215</v>
      </c>
      <c r="E73" s="148" t="s">
        <v>607</v>
      </c>
      <c r="F73" s="148" t="s">
        <v>583</v>
      </c>
      <c r="G73" s="404">
        <v>0.3</v>
      </c>
      <c r="H73" s="412">
        <f>107.4*G73</f>
        <v>32.22</v>
      </c>
      <c r="I73" s="181">
        <v>1</v>
      </c>
      <c r="J73" s="404">
        <f t="shared" si="3"/>
        <v>0.3</v>
      </c>
      <c r="K73" s="405">
        <f t="shared" si="4"/>
        <v>32.22</v>
      </c>
      <c r="L73" s="404">
        <v>0.3</v>
      </c>
      <c r="M73" s="412">
        <f>107.4*L73</f>
        <v>32.22</v>
      </c>
    </row>
    <row r="74" spans="1:13">
      <c r="A74" s="148" t="str">
        <f t="shared" si="5"/>
        <v xml:space="preserve">Management and AdminSubstantive Nursing Band 8aMatron - Inpatient Care </v>
      </c>
      <c r="B74" s="148" t="s">
        <v>575</v>
      </c>
      <c r="C74" s="148" t="s">
        <v>330</v>
      </c>
      <c r="D74" s="148" t="s">
        <v>215</v>
      </c>
      <c r="E74" s="148" t="s">
        <v>569</v>
      </c>
      <c r="F74" s="148" t="s">
        <v>584</v>
      </c>
      <c r="G74" s="404">
        <v>0.4</v>
      </c>
      <c r="H74" s="405">
        <f>G74*58.6</f>
        <v>23.44</v>
      </c>
      <c r="I74" s="181">
        <v>1</v>
      </c>
      <c r="J74" s="404">
        <f t="shared" si="3"/>
        <v>0.4</v>
      </c>
      <c r="K74" s="405">
        <f t="shared" si="4"/>
        <v>23.44</v>
      </c>
      <c r="L74" s="404">
        <v>0.4</v>
      </c>
      <c r="M74" s="405">
        <f>L74*58.6</f>
        <v>23.44</v>
      </c>
    </row>
    <row r="75" spans="1:13">
      <c r="A75" s="148" t="str">
        <f t="shared" si="5"/>
        <v>Management and AdminSubstantive Nursing Band 8aMatron - POA</v>
      </c>
      <c r="B75" s="148" t="s">
        <v>575</v>
      </c>
      <c r="C75" s="148" t="s">
        <v>330</v>
      </c>
      <c r="D75" s="148" t="s">
        <v>215</v>
      </c>
      <c r="E75" s="148" t="s">
        <v>569</v>
      </c>
      <c r="F75" s="148" t="s">
        <v>585</v>
      </c>
      <c r="G75" s="404">
        <v>0.15</v>
      </c>
      <c r="H75" s="405">
        <f>G75*58.6</f>
        <v>8.7899999999999991</v>
      </c>
      <c r="I75" s="181">
        <v>1</v>
      </c>
      <c r="J75" s="404">
        <f t="shared" si="3"/>
        <v>0.15</v>
      </c>
      <c r="K75" s="405">
        <f t="shared" si="4"/>
        <v>8.7899999999999991</v>
      </c>
      <c r="L75" s="404">
        <v>0.15</v>
      </c>
      <c r="M75" s="405">
        <f>L75*58.6</f>
        <v>8.7899999999999991</v>
      </c>
    </row>
    <row r="76" spans="1:13">
      <c r="A76" s="148" t="str">
        <f t="shared" si="5"/>
        <v>Management and AdminSubstantive Nursing Band 8aMatron - Theatres</v>
      </c>
      <c r="B76" s="148" t="s">
        <v>575</v>
      </c>
      <c r="C76" s="148" t="s">
        <v>330</v>
      </c>
      <c r="D76" s="148" t="s">
        <v>215</v>
      </c>
      <c r="E76" s="148" t="s">
        <v>569</v>
      </c>
      <c r="F76" s="148" t="s">
        <v>586</v>
      </c>
      <c r="G76" s="404">
        <v>1</v>
      </c>
      <c r="H76" s="405">
        <f>G76*58.6</f>
        <v>58.6</v>
      </c>
      <c r="I76" s="181">
        <v>1</v>
      </c>
      <c r="J76" s="404">
        <f t="shared" si="3"/>
        <v>1</v>
      </c>
      <c r="K76" s="405">
        <f t="shared" si="4"/>
        <v>58.6</v>
      </c>
      <c r="L76" s="404">
        <v>1</v>
      </c>
      <c r="M76" s="405">
        <f>L76*58.6</f>
        <v>58.6</v>
      </c>
    </row>
    <row r="77" spans="1:13">
      <c r="A77" s="148" t="str">
        <f t="shared" si="5"/>
        <v>Management and AdminSubstantive Management Band 9Managing Director</v>
      </c>
      <c r="B77" s="148" t="s">
        <v>575</v>
      </c>
      <c r="C77" s="148" t="s">
        <v>330</v>
      </c>
      <c r="D77" s="148" t="s">
        <v>213</v>
      </c>
      <c r="E77" s="148" t="s">
        <v>587</v>
      </c>
      <c r="F77" s="148" t="s">
        <v>588</v>
      </c>
      <c r="G77" s="404">
        <v>0</v>
      </c>
      <c r="H77" s="412">
        <v>0</v>
      </c>
      <c r="I77" s="181">
        <v>1</v>
      </c>
      <c r="J77" s="404">
        <f t="shared" si="3"/>
        <v>1</v>
      </c>
      <c r="K77" s="405">
        <f t="shared" si="4"/>
        <v>129.80000000000001</v>
      </c>
      <c r="L77" s="404">
        <v>1</v>
      </c>
      <c r="M77" s="405">
        <f>L77*129.8</f>
        <v>129.80000000000001</v>
      </c>
    </row>
    <row r="78" spans="1:13">
      <c r="A78" s="148" t="str">
        <f t="shared" ref="A78:A79" si="6">B78&amp;E78&amp;F78</f>
        <v>Management and AdminSubstantive Management Band 9Divisional General Manager</v>
      </c>
      <c r="B78" s="148" t="s">
        <v>575</v>
      </c>
      <c r="C78" s="148" t="s">
        <v>330</v>
      </c>
      <c r="D78" s="148" t="s">
        <v>213</v>
      </c>
      <c r="E78" s="148" t="s">
        <v>587</v>
      </c>
      <c r="F78" s="148" t="s">
        <v>613</v>
      </c>
      <c r="G78" s="404">
        <v>0.1</v>
      </c>
      <c r="H78" s="405">
        <f>G78*129.8</f>
        <v>12.980000000000002</v>
      </c>
      <c r="I78" s="181">
        <v>1</v>
      </c>
      <c r="J78" s="404">
        <f t="shared" si="3"/>
        <v>0</v>
      </c>
      <c r="K78" s="405">
        <f t="shared" si="4"/>
        <v>0</v>
      </c>
      <c r="L78" s="404">
        <v>0</v>
      </c>
      <c r="M78" s="405">
        <v>0</v>
      </c>
    </row>
    <row r="79" spans="1:13">
      <c r="A79" s="148" t="str">
        <f t="shared" si="6"/>
        <v>Management and AdminSubstantive Nursing Band 8dDivisional Head of Nursing</v>
      </c>
      <c r="B79" s="148" t="s">
        <v>575</v>
      </c>
      <c r="C79" s="148" t="s">
        <v>330</v>
      </c>
      <c r="D79" s="148" t="s">
        <v>215</v>
      </c>
      <c r="E79" s="148" t="s">
        <v>607</v>
      </c>
      <c r="F79" s="148" t="s">
        <v>614</v>
      </c>
      <c r="G79" s="404">
        <v>0.1</v>
      </c>
      <c r="H79" s="405">
        <f>G79*129.8</f>
        <v>12.980000000000002</v>
      </c>
      <c r="I79" s="181">
        <v>1</v>
      </c>
      <c r="J79" s="404">
        <f t="shared" si="3"/>
        <v>0</v>
      </c>
      <c r="K79" s="405">
        <f t="shared" si="4"/>
        <v>0</v>
      </c>
      <c r="L79" s="404">
        <v>0</v>
      </c>
      <c r="M79" s="405">
        <v>0</v>
      </c>
    </row>
    <row r="80" spans="1:13">
      <c r="A80" s="148" t="str">
        <f t="shared" si="5"/>
        <v>Management and AdminConsultantMedical Director</v>
      </c>
      <c r="B80" s="148" t="s">
        <v>575</v>
      </c>
      <c r="C80" s="148" t="s">
        <v>330</v>
      </c>
      <c r="D80" s="148" t="s">
        <v>115</v>
      </c>
      <c r="E80" s="148" t="s">
        <v>115</v>
      </c>
      <c r="F80" s="148" t="s">
        <v>589</v>
      </c>
      <c r="G80" s="404">
        <v>0</v>
      </c>
      <c r="H80" s="412">
        <v>0</v>
      </c>
      <c r="I80" s="181">
        <v>1</v>
      </c>
      <c r="J80" s="404">
        <f t="shared" si="3"/>
        <v>0.2</v>
      </c>
      <c r="K80" s="405">
        <f t="shared" si="4"/>
        <v>25.92</v>
      </c>
      <c r="L80" s="404">
        <v>0.2</v>
      </c>
      <c r="M80" s="412">
        <f>L80*129.6</f>
        <v>25.92</v>
      </c>
    </row>
    <row r="81" spans="1:13">
      <c r="A81" s="148" t="str">
        <f t="shared" si="5"/>
        <v>Management and AdminConsultantDeputy Clinical Director</v>
      </c>
      <c r="B81" s="148" t="s">
        <v>575</v>
      </c>
      <c r="C81" s="148" t="s">
        <v>330</v>
      </c>
      <c r="D81" s="148" t="s">
        <v>115</v>
      </c>
      <c r="E81" s="148" t="s">
        <v>115</v>
      </c>
      <c r="F81" s="148" t="s">
        <v>590</v>
      </c>
      <c r="G81" s="404">
        <v>0</v>
      </c>
      <c r="H81" s="412">
        <v>0</v>
      </c>
      <c r="I81" s="181">
        <v>1</v>
      </c>
      <c r="J81" s="404">
        <f t="shared" si="3"/>
        <v>0.1</v>
      </c>
      <c r="K81" s="405">
        <f t="shared" si="4"/>
        <v>12.96</v>
      </c>
      <c r="L81" s="404">
        <v>0.1</v>
      </c>
      <c r="M81" s="412">
        <f>L81*129.6</f>
        <v>12.96</v>
      </c>
    </row>
    <row r="82" spans="1:13">
      <c r="A82" s="148" t="str">
        <f t="shared" si="5"/>
        <v>Management and AdminSubstantive Nursing Band 9Centre Head of Nursing</v>
      </c>
      <c r="B82" s="148" t="s">
        <v>575</v>
      </c>
      <c r="C82" s="148" t="s">
        <v>330</v>
      </c>
      <c r="D82" s="148" t="s">
        <v>215</v>
      </c>
      <c r="E82" s="148" t="s">
        <v>591</v>
      </c>
      <c r="F82" s="148" t="s">
        <v>592</v>
      </c>
      <c r="G82" s="404">
        <v>0</v>
      </c>
      <c r="H82" s="412">
        <v>0</v>
      </c>
      <c r="I82" s="181">
        <v>1</v>
      </c>
      <c r="J82" s="404">
        <f t="shared" si="3"/>
        <v>0.4</v>
      </c>
      <c r="K82" s="405">
        <f t="shared" si="4"/>
        <v>51.920000000000009</v>
      </c>
      <c r="L82" s="404">
        <v>0.4</v>
      </c>
      <c r="M82" s="405">
        <f>L82*129.8</f>
        <v>51.920000000000009</v>
      </c>
    </row>
    <row r="83" spans="1:13">
      <c r="A83" s="148" t="str">
        <f t="shared" si="5"/>
        <v>Management and AdminSubstantive AHP Band 9Centre Head of Therapies</v>
      </c>
      <c r="B83" s="148" t="s">
        <v>575</v>
      </c>
      <c r="C83" s="148" t="s">
        <v>330</v>
      </c>
      <c r="D83" s="148" t="s">
        <v>212</v>
      </c>
      <c r="E83" s="148" t="s">
        <v>593</v>
      </c>
      <c r="F83" s="148" t="s">
        <v>594</v>
      </c>
      <c r="G83" s="404">
        <v>0</v>
      </c>
      <c r="H83" s="412">
        <v>0</v>
      </c>
      <c r="I83" s="181">
        <v>1</v>
      </c>
      <c r="J83" s="404">
        <f t="shared" si="3"/>
        <v>0.2</v>
      </c>
      <c r="K83" s="405">
        <f t="shared" si="4"/>
        <v>25.960000000000004</v>
      </c>
      <c r="L83" s="404">
        <v>0.2</v>
      </c>
      <c r="M83" s="405">
        <f>L83*129.8</f>
        <v>25.960000000000004</v>
      </c>
    </row>
    <row r="84" spans="1:13">
      <c r="A84" s="148" t="str">
        <f t="shared" si="5"/>
        <v>Management and AdminSubstantive Management Band 8bBusiness/Operations and Performance Manager</v>
      </c>
      <c r="B84" s="148" t="s">
        <v>575</v>
      </c>
      <c r="C84" s="148" t="s">
        <v>330</v>
      </c>
      <c r="D84" s="148" t="s">
        <v>213</v>
      </c>
      <c r="E84" s="148" t="s">
        <v>595</v>
      </c>
      <c r="F84" s="148" t="s">
        <v>596</v>
      </c>
      <c r="G84" s="404">
        <v>0</v>
      </c>
      <c r="H84" s="412">
        <v>0</v>
      </c>
      <c r="I84" s="181">
        <v>1</v>
      </c>
      <c r="J84" s="404">
        <f t="shared" si="3"/>
        <v>1</v>
      </c>
      <c r="K84" s="405">
        <f t="shared" si="4"/>
        <v>77.3</v>
      </c>
      <c r="L84" s="404">
        <v>1</v>
      </c>
      <c r="M84" s="405">
        <f>77.3*L84</f>
        <v>77.3</v>
      </c>
    </row>
    <row r="85" spans="1:13">
      <c r="A85" s="148" t="str">
        <f t="shared" si="5"/>
        <v>Management and AdminSubstantive Management Band 7Head of Quality and Performance</v>
      </c>
      <c r="B85" s="148" t="s">
        <v>575</v>
      </c>
      <c r="C85" s="148" t="s">
        <v>330</v>
      </c>
      <c r="D85" s="148" t="s">
        <v>213</v>
      </c>
      <c r="E85" s="148" t="s">
        <v>597</v>
      </c>
      <c r="F85" s="148" t="s">
        <v>598</v>
      </c>
      <c r="G85" s="404">
        <v>0</v>
      </c>
      <c r="H85" s="412">
        <v>0</v>
      </c>
      <c r="I85" s="181">
        <v>1</v>
      </c>
      <c r="J85" s="404">
        <f t="shared" si="3"/>
        <v>0.5</v>
      </c>
      <c r="K85" s="405">
        <f t="shared" si="4"/>
        <v>58.8</v>
      </c>
      <c r="L85" s="404">
        <v>0.5</v>
      </c>
      <c r="M85" s="405">
        <v>58.8</v>
      </c>
    </row>
    <row r="86" spans="1:13">
      <c r="A86" s="148" t="str">
        <f t="shared" si="5"/>
        <v>Management and AdminSubstantive Nursing Band 8aMatron - Inpatient Care</v>
      </c>
      <c r="B86" s="148" t="s">
        <v>575</v>
      </c>
      <c r="C86" s="148" t="s">
        <v>330</v>
      </c>
      <c r="D86" s="148" t="s">
        <v>215</v>
      </c>
      <c r="E86" s="148" t="s">
        <v>569</v>
      </c>
      <c r="F86" s="148" t="s">
        <v>599</v>
      </c>
      <c r="G86" s="404">
        <v>0</v>
      </c>
      <c r="H86" s="412">
        <v>0</v>
      </c>
      <c r="I86" s="181">
        <v>1</v>
      </c>
      <c r="J86" s="404">
        <f t="shared" si="3"/>
        <v>0</v>
      </c>
      <c r="K86" s="405">
        <f t="shared" si="4"/>
        <v>0</v>
      </c>
      <c r="L86" s="404">
        <v>0</v>
      </c>
      <c r="M86" s="405">
        <v>0</v>
      </c>
    </row>
    <row r="87" spans="1:13">
      <c r="A87" s="148" t="str">
        <f t="shared" si="5"/>
        <v>Management and AdminSubstantive Nursing Band 8aMatron - POA</v>
      </c>
      <c r="B87" s="148" t="s">
        <v>575</v>
      </c>
      <c r="C87" s="148" t="s">
        <v>330</v>
      </c>
      <c r="D87" s="148" t="s">
        <v>215</v>
      </c>
      <c r="E87" s="148" t="s">
        <v>569</v>
      </c>
      <c r="F87" s="148" t="s">
        <v>585</v>
      </c>
      <c r="G87" s="404">
        <v>0</v>
      </c>
      <c r="H87" s="412">
        <v>0</v>
      </c>
      <c r="I87" s="181">
        <v>1</v>
      </c>
      <c r="J87" s="404">
        <f t="shared" si="3"/>
        <v>0</v>
      </c>
      <c r="K87" s="405">
        <f t="shared" si="4"/>
        <v>0</v>
      </c>
      <c r="L87" s="404">
        <v>0</v>
      </c>
      <c r="M87" s="405">
        <v>0</v>
      </c>
    </row>
    <row r="88" spans="1:13">
      <c r="A88" s="148" t="str">
        <f t="shared" si="5"/>
        <v>Management and AdminSubstantive Nursing Band 8aMatron - Theatres (BCAD)</v>
      </c>
      <c r="B88" s="148" t="s">
        <v>575</v>
      </c>
      <c r="C88" s="148" t="s">
        <v>330</v>
      </c>
      <c r="D88" s="148" t="s">
        <v>215</v>
      </c>
      <c r="E88" s="148" t="s">
        <v>569</v>
      </c>
      <c r="F88" s="148" t="s">
        <v>600</v>
      </c>
      <c r="G88" s="404">
        <v>0</v>
      </c>
      <c r="H88" s="412">
        <v>0</v>
      </c>
      <c r="I88" s="181">
        <v>1</v>
      </c>
      <c r="J88" s="404">
        <f t="shared" si="3"/>
        <v>0</v>
      </c>
      <c r="K88" s="405">
        <f t="shared" si="4"/>
        <v>0</v>
      </c>
      <c r="L88" s="404">
        <v>0</v>
      </c>
      <c r="M88" s="405">
        <v>0</v>
      </c>
    </row>
    <row r="89" spans="1:13" s="153" customFormat="1">
      <c r="G89" s="406">
        <f>SUM(G3:G88)</f>
        <v>158.58744174923956</v>
      </c>
      <c r="H89" s="414">
        <f>SUM(H3:H88)</f>
        <v>8881.9048558094473</v>
      </c>
      <c r="I89" s="411"/>
      <c r="J89" s="406">
        <f>SUM(J3:J88)</f>
        <v>279.37432060572729</v>
      </c>
      <c r="K89" s="406">
        <f>SUM(K3:K88)</f>
        <v>15554.560024431421</v>
      </c>
      <c r="L89" s="406">
        <f>SUM(L3:L88)</f>
        <v>336.51803571120246</v>
      </c>
      <c r="M89" s="406">
        <f>SUM(M3:M88)</f>
        <v>18724.187043599177</v>
      </c>
    </row>
    <row r="91" spans="1:13">
      <c r="J91" s="406">
        <v>279.16635572343495</v>
      </c>
      <c r="L91" s="406">
        <v>336.5603331262592</v>
      </c>
    </row>
  </sheetData>
  <autoFilter ref="A2:M89" xr:uid="{34592141-7410-47E7-813A-F04E4DFD57C5}"/>
  <mergeCells count="3">
    <mergeCell ref="L1:M1"/>
    <mergeCell ref="J1:K1"/>
    <mergeCell ref="G1:H1"/>
  </mergeCells>
  <pageMargins left="0.7" right="0.7" top="0.75" bottom="0.75" header="0.3" footer="0.3"/>
  <pageSetup paperSize="9" orientation="portrait" verticalDpi="0" r:id="rId1"/>
  <ignoredErrors>
    <ignoredError sqref="M49 M24 H2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65FD-4F61-41F5-A6EB-E792886943C0}">
  <dimension ref="A1:O91"/>
  <sheetViews>
    <sheetView topLeftCell="E1" workbookViewId="0">
      <selection activeCell="F9" sqref="F9"/>
    </sheetView>
  </sheetViews>
  <sheetFormatPr baseColWidth="10" defaultColWidth="9.5" defaultRowHeight="15"/>
  <cols>
    <col min="1" max="1" width="31.5" style="149" bestFit="1" customWidth="1"/>
    <col min="2" max="2" width="14.83203125" style="149" bestFit="1" customWidth="1"/>
    <col min="3" max="3" width="22.83203125" style="149" bestFit="1" customWidth="1"/>
    <col min="4" max="4" width="47.83203125" style="149" bestFit="1" customWidth="1"/>
    <col min="5" max="5" width="39.83203125" style="149" bestFit="1" customWidth="1"/>
    <col min="6" max="6" width="12.6640625" style="415" customWidth="1"/>
    <col min="7" max="7" width="12.6640625" style="416" customWidth="1"/>
    <col min="8" max="8" width="12.6640625" style="415" customWidth="1"/>
    <col min="9" max="9" width="12.6640625" style="416" customWidth="1"/>
    <col min="10" max="10" width="12.6640625" style="415" customWidth="1"/>
    <col min="11" max="11" width="12.6640625" style="416" customWidth="1"/>
    <col min="12" max="12" width="12.6640625" style="415" customWidth="1"/>
    <col min="13" max="13" width="12.6640625" style="416" customWidth="1"/>
    <col min="14" max="14" width="12.6640625" style="415" customWidth="1"/>
    <col min="15" max="15" width="12.6640625" style="416" customWidth="1"/>
    <col min="16" max="17" width="12.6640625" style="149" customWidth="1"/>
    <col min="18" max="16384" width="9.5" style="149"/>
  </cols>
  <sheetData>
    <row r="1" spans="1:15" s="148" customFormat="1" thickBot="1">
      <c r="D1" s="148" t="s">
        <v>627</v>
      </c>
      <c r="F1" s="412"/>
      <c r="G1" s="169"/>
      <c r="H1" s="412"/>
      <c r="I1" s="169"/>
      <c r="J1" s="412"/>
      <c r="K1" s="418">
        <v>1.016</v>
      </c>
      <c r="L1" s="412"/>
      <c r="M1" s="418">
        <v>1.018</v>
      </c>
      <c r="N1" s="412"/>
      <c r="O1" s="418">
        <v>1.0169999999999999</v>
      </c>
    </row>
    <row r="2" spans="1:15" s="148" customFormat="1" thickBot="1">
      <c r="D2" s="148" t="s">
        <v>628</v>
      </c>
      <c r="F2" s="412"/>
      <c r="G2" s="169"/>
      <c r="H2" s="412"/>
      <c r="I2" s="169"/>
      <c r="J2" s="412"/>
      <c r="K2" s="418">
        <v>1.022</v>
      </c>
      <c r="L2" s="412"/>
      <c r="M2" s="418">
        <v>1.022</v>
      </c>
      <c r="N2" s="412"/>
      <c r="O2" s="418">
        <v>1.022</v>
      </c>
    </row>
    <row r="3" spans="1:15" s="148" customFormat="1" thickBot="1">
      <c r="D3" s="148" t="s">
        <v>626</v>
      </c>
      <c r="F3" s="412"/>
      <c r="G3" s="169"/>
      <c r="H3" s="412"/>
      <c r="I3" s="169"/>
      <c r="J3" s="412"/>
      <c r="K3" s="418">
        <f>K1+0.022</f>
        <v>1.038</v>
      </c>
      <c r="L3" s="412"/>
      <c r="M3" s="418">
        <f>M1+0.022</f>
        <v>1.04</v>
      </c>
      <c r="N3" s="412"/>
      <c r="O3" s="418">
        <f>O1+0.022</f>
        <v>1.0389999999999999</v>
      </c>
    </row>
    <row r="4" spans="1:15" ht="24" customHeight="1">
      <c r="A4" s="155" t="s">
        <v>487</v>
      </c>
      <c r="B4" s="155" t="s">
        <v>488</v>
      </c>
      <c r="C4" s="155" t="s">
        <v>489</v>
      </c>
      <c r="D4" s="155" t="s">
        <v>490</v>
      </c>
      <c r="E4" s="155" t="s">
        <v>491</v>
      </c>
      <c r="F4" s="402" t="s">
        <v>616</v>
      </c>
      <c r="G4" s="417" t="s">
        <v>617</v>
      </c>
      <c r="H4" s="402" t="s">
        <v>618</v>
      </c>
      <c r="I4" s="417" t="s">
        <v>619</v>
      </c>
      <c r="J4" s="402" t="s">
        <v>620</v>
      </c>
      <c r="K4" s="417" t="s">
        <v>621</v>
      </c>
      <c r="L4" s="402" t="s">
        <v>622</v>
      </c>
      <c r="M4" s="417" t="s">
        <v>623</v>
      </c>
      <c r="N4" s="402" t="s">
        <v>624</v>
      </c>
      <c r="O4" s="417" t="s">
        <v>625</v>
      </c>
    </row>
    <row r="5" spans="1:15">
      <c r="A5" s="148" t="s">
        <v>494</v>
      </c>
      <c r="B5" s="148" t="s">
        <v>330</v>
      </c>
      <c r="C5" s="148" t="s">
        <v>215</v>
      </c>
      <c r="D5" s="148" t="s">
        <v>495</v>
      </c>
      <c r="E5" s="148" t="s">
        <v>496</v>
      </c>
      <c r="F5" s="412">
        <f>('9a. Workforce'!G3*7/12)+('9a. Workforce'!J3*5/12)</f>
        <v>2.4408675555555557</v>
      </c>
      <c r="G5" s="169">
        <f>('9a. Workforce'!H3*7/12)+('9a. Workforce'!K3*5/12)</f>
        <v>124.48424533333332</v>
      </c>
      <c r="H5" s="412">
        <f>'9a. Workforce'!L3</f>
        <v>2.642287928888889</v>
      </c>
      <c r="I5" s="169">
        <f>'9a. Workforce'!M3</f>
        <v>134.75668437333334</v>
      </c>
      <c r="J5" s="412">
        <f>H5*$K$1</f>
        <v>2.6845645357511114</v>
      </c>
      <c r="K5" s="169">
        <f>I5*$K$3</f>
        <v>139.87743837952002</v>
      </c>
      <c r="L5" s="412">
        <f>J5*$M$1</f>
        <v>2.7328866973946315</v>
      </c>
      <c r="M5" s="169">
        <f>K5*$M$3</f>
        <v>145.47253591470081</v>
      </c>
      <c r="N5" s="415">
        <f>L5*$O$1</f>
        <v>2.7793457712503402</v>
      </c>
      <c r="O5" s="416">
        <f>M5*$O$3</f>
        <v>151.14596481537413</v>
      </c>
    </row>
    <row r="6" spans="1:15">
      <c r="A6" s="148" t="s">
        <v>494</v>
      </c>
      <c r="B6" s="148" t="s">
        <v>330</v>
      </c>
      <c r="C6" s="148" t="s">
        <v>215</v>
      </c>
      <c r="D6" s="148" t="s">
        <v>497</v>
      </c>
      <c r="E6" s="148" t="s">
        <v>498</v>
      </c>
      <c r="F6" s="412">
        <f>('9a. Workforce'!G4*7/12)+('9a. Workforce'!J4*5/12)</f>
        <v>1.2204337777777778</v>
      </c>
      <c r="G6" s="169">
        <f>('9a. Workforce'!H4*7/12)+('9a. Workforce'!K4*5/12)</f>
        <v>37.345273600000013</v>
      </c>
      <c r="H6" s="412">
        <f>'9a. Workforce'!L4</f>
        <v>1.3211439644444445</v>
      </c>
      <c r="I6" s="169">
        <f>'9a. Workforce'!M4</f>
        <v>40.427005312000006</v>
      </c>
      <c r="J6" s="412">
        <f t="shared" ref="J6:J10" si="0">H6*$K$1</f>
        <v>1.3422822678755557</v>
      </c>
      <c r="K6" s="169">
        <f t="shared" ref="K6:K10" si="1">I6*$K$3</f>
        <v>41.963231513856009</v>
      </c>
      <c r="L6" s="412">
        <f t="shared" ref="L6:L10" si="2">J6*$M$1</f>
        <v>1.3664433486973158</v>
      </c>
      <c r="M6" s="169">
        <f t="shared" ref="M6:M10" si="3">K6*$M$3</f>
        <v>43.641760774410251</v>
      </c>
      <c r="N6" s="415">
        <f t="shared" ref="N6:N10" si="4">L6*$O$1</f>
        <v>1.3896728856251701</v>
      </c>
      <c r="O6" s="416">
        <f t="shared" ref="O6:O10" si="5">M6*$O$3</f>
        <v>45.343789444612248</v>
      </c>
    </row>
    <row r="7" spans="1:15">
      <c r="A7" s="148" t="s">
        <v>494</v>
      </c>
      <c r="B7" s="148" t="s">
        <v>330</v>
      </c>
      <c r="C7" s="148" t="s">
        <v>115</v>
      </c>
      <c r="D7" s="148" t="s">
        <v>608</v>
      </c>
      <c r="E7" s="148" t="s">
        <v>562</v>
      </c>
      <c r="F7" s="412">
        <f>('9a. Workforce'!G5*7/12)+('9a. Workforce'!J5*5/12)</f>
        <v>1.0367205215419502</v>
      </c>
      <c r="G7" s="169">
        <f>(('9a. Workforce'!H5*7/12)+('9a. Workforce'!K5*5/12))*0.971</f>
        <v>120.60237732291665</v>
      </c>
      <c r="H7" s="412">
        <f>'9a. Workforce'!L5</f>
        <v>1.1222706916099774</v>
      </c>
      <c r="I7" s="169">
        <f>'9a. Workforce'!M5</f>
        <v>134.45364020833333</v>
      </c>
      <c r="J7" s="412">
        <f t="shared" si="0"/>
        <v>1.1402270226757369</v>
      </c>
      <c r="K7" s="169">
        <f t="shared" si="1"/>
        <v>139.56287853625</v>
      </c>
      <c r="L7" s="412">
        <f t="shared" si="2"/>
        <v>1.1607511090839002</v>
      </c>
      <c r="M7" s="169">
        <f t="shared" si="3"/>
        <v>145.14539367770001</v>
      </c>
      <c r="N7" s="415">
        <f t="shared" si="4"/>
        <v>1.1804838779383264</v>
      </c>
      <c r="O7" s="416">
        <f t="shared" si="5"/>
        <v>150.80606403113029</v>
      </c>
    </row>
    <row r="8" spans="1:15">
      <c r="A8" s="148" t="s">
        <v>501</v>
      </c>
      <c r="B8" s="148" t="s">
        <v>330</v>
      </c>
      <c r="C8" s="148" t="s">
        <v>215</v>
      </c>
      <c r="D8" s="148" t="s">
        <v>495</v>
      </c>
      <c r="E8" s="148" t="s">
        <v>502</v>
      </c>
      <c r="F8" s="412">
        <f>('9a. Workforce'!G6*7/12)+('9a. Workforce'!J6*5/12*0.7)</f>
        <v>0.9002365555555556</v>
      </c>
      <c r="G8" s="169">
        <f>('9a. Workforce'!H6*7/12)+('9a. Workforce'!K6*5/12*0.7)</f>
        <v>50.68331807777777</v>
      </c>
      <c r="H8" s="412">
        <f>'9a. Workforce'!L6</f>
        <v>1.3090666666666668</v>
      </c>
      <c r="I8" s="169">
        <f>'9a. Workforce'!M6</f>
        <v>73.700453333333343</v>
      </c>
      <c r="J8" s="412">
        <f t="shared" si="0"/>
        <v>1.3300117333333334</v>
      </c>
      <c r="K8" s="169">
        <f t="shared" si="1"/>
        <v>76.501070560000016</v>
      </c>
      <c r="L8" s="412">
        <f t="shared" si="2"/>
        <v>1.3539519445333335</v>
      </c>
      <c r="M8" s="169">
        <f t="shared" si="3"/>
        <v>79.561113382400023</v>
      </c>
      <c r="N8" s="415">
        <f t="shared" si="4"/>
        <v>1.3769691275903999</v>
      </c>
      <c r="O8" s="416">
        <f t="shared" si="5"/>
        <v>82.663996804313612</v>
      </c>
    </row>
    <row r="9" spans="1:15">
      <c r="A9" s="148" t="s">
        <v>501</v>
      </c>
      <c r="B9" s="148" t="s">
        <v>330</v>
      </c>
      <c r="C9" s="148" t="s">
        <v>215</v>
      </c>
      <c r="D9" s="148" t="s">
        <v>503</v>
      </c>
      <c r="E9" s="148" t="s">
        <v>502</v>
      </c>
      <c r="F9" s="412">
        <f>('9a. Workforce'!G7*7/12)+('9a. Workforce'!J7*5/12*0.7)</f>
        <v>4.9437663333333326</v>
      </c>
      <c r="G9" s="169">
        <f>('9a. Workforce'!H7*7/12)+('9a. Workforce'!K7*5/12*0.7)</f>
        <v>206.1550561</v>
      </c>
      <c r="H9" s="412">
        <f>'9a. Workforce'!L7</f>
        <v>10.783199999999999</v>
      </c>
      <c r="I9" s="169">
        <f>'9a. Workforce'!M7</f>
        <v>449.65943999999996</v>
      </c>
      <c r="J9" s="412">
        <f t="shared" si="0"/>
        <v>10.955731199999999</v>
      </c>
      <c r="K9" s="169">
        <f t="shared" si="1"/>
        <v>466.74649871999998</v>
      </c>
      <c r="L9" s="412">
        <f t="shared" si="2"/>
        <v>11.1529343616</v>
      </c>
      <c r="M9" s="169">
        <f t="shared" si="3"/>
        <v>485.4163586688</v>
      </c>
      <c r="N9" s="415">
        <f t="shared" si="4"/>
        <v>11.342534245747199</v>
      </c>
      <c r="O9" s="416">
        <f t="shared" si="5"/>
        <v>504.34759665688318</v>
      </c>
    </row>
    <row r="10" spans="1:15">
      <c r="A10" s="148" t="s">
        <v>501</v>
      </c>
      <c r="B10" s="148" t="s">
        <v>330</v>
      </c>
      <c r="C10" s="148" t="s">
        <v>215</v>
      </c>
      <c r="D10" s="148" t="s">
        <v>497</v>
      </c>
      <c r="E10" s="148" t="s">
        <v>504</v>
      </c>
      <c r="F10" s="412">
        <f>('9a. Workforce'!G8*7/12)+('9a. Workforce'!J8*5/12*0.7)</f>
        <v>1.2743359999999999</v>
      </c>
      <c r="G10" s="169">
        <f>('9a. Workforce'!H8*7/12)+('9a. Workforce'!K8*5/12*0.7)</f>
        <v>39.759283199999999</v>
      </c>
      <c r="H10" s="412">
        <f>'9a. Workforce'!L8</f>
        <v>2.8544</v>
      </c>
      <c r="I10" s="169">
        <f>'9a. Workforce'!M8</f>
        <v>89.057280000000006</v>
      </c>
      <c r="J10" s="412">
        <f t="shared" si="0"/>
        <v>2.9000704000000002</v>
      </c>
      <c r="K10" s="169">
        <f t="shared" si="1"/>
        <v>92.441456640000013</v>
      </c>
      <c r="L10" s="412">
        <f t="shared" si="2"/>
        <v>2.9522716672000002</v>
      </c>
      <c r="M10" s="169">
        <f t="shared" si="3"/>
        <v>96.13911490560001</v>
      </c>
      <c r="N10" s="415">
        <f t="shared" si="4"/>
        <v>3.0024602855424001</v>
      </c>
      <c r="O10" s="416">
        <f t="shared" si="5"/>
        <v>99.888540386918407</v>
      </c>
    </row>
    <row r="11" spans="1:15">
      <c r="A11" s="148" t="s">
        <v>505</v>
      </c>
      <c r="B11" s="148" t="s">
        <v>330</v>
      </c>
      <c r="C11" s="148" t="s">
        <v>215</v>
      </c>
      <c r="D11" s="148" t="s">
        <v>495</v>
      </c>
      <c r="E11" s="148" t="s">
        <v>506</v>
      </c>
      <c r="F11" s="412">
        <f>('9a. Workforce'!G9*7/12)+('9a. Workforce'!J9*5/12)</f>
        <v>11.167596111111113</v>
      </c>
      <c r="G11" s="169">
        <f>('9a. Workforce'!H9*7/12)+('9a. Workforce'!K9*5/12)</f>
        <v>42.184166666666663</v>
      </c>
      <c r="H11" s="412">
        <f>'9a. Workforce'!L9</f>
        <v>18.764133333333334</v>
      </c>
      <c r="I11" s="169">
        <f>'9a. Workforce'!M9</f>
        <v>45.4</v>
      </c>
      <c r="J11" s="412">
        <f>H11</f>
        <v>18.764133333333334</v>
      </c>
      <c r="K11" s="169">
        <f>I11*$K$2</f>
        <v>46.398800000000001</v>
      </c>
      <c r="L11" s="412">
        <f>J11</f>
        <v>18.764133333333334</v>
      </c>
      <c r="M11" s="169">
        <f>K11*$M$2</f>
        <v>47.4195736</v>
      </c>
      <c r="N11" s="412">
        <f>L11</f>
        <v>18.764133333333334</v>
      </c>
      <c r="O11" s="169">
        <f>M11*$O$2</f>
        <v>48.462804219200002</v>
      </c>
    </row>
    <row r="12" spans="1:15">
      <c r="A12" s="148" t="s">
        <v>507</v>
      </c>
      <c r="B12" s="148" t="s">
        <v>330</v>
      </c>
      <c r="C12" s="148" t="s">
        <v>215</v>
      </c>
      <c r="D12" s="148" t="s">
        <v>499</v>
      </c>
      <c r="E12" s="148" t="s">
        <v>508</v>
      </c>
      <c r="F12" s="412">
        <f>('9a. Workforce'!G10*7/12)+('9a. Workforce'!J10*5/12*0.7)</f>
        <v>6.0150066666666664</v>
      </c>
      <c r="G12" s="169">
        <f>('9a. Workforce'!H10*7/12)+('9a. Workforce'!K10*5/12*0.7)</f>
        <v>369.92290999999994</v>
      </c>
      <c r="H12" s="412">
        <f>'9a. Workforce'!L10</f>
        <v>10.736000000000001</v>
      </c>
      <c r="I12" s="169">
        <f>'9a. Workforce'!M10</f>
        <v>660.26400000000001</v>
      </c>
      <c r="J12" s="412">
        <f t="shared" ref="J12:J14" si="6">H12</f>
        <v>10.736000000000001</v>
      </c>
      <c r="K12" s="169">
        <f t="shared" ref="K12:K14" si="7">I12*$K$2</f>
        <v>674.78980799999999</v>
      </c>
      <c r="L12" s="412">
        <f t="shared" ref="L12:L14" si="8">J12</f>
        <v>10.736000000000001</v>
      </c>
      <c r="M12" s="169">
        <f t="shared" ref="M12:M14" si="9">K12*$M$2</f>
        <v>689.63518377599996</v>
      </c>
      <c r="N12" s="412">
        <f t="shared" ref="N12:N14" si="10">L12</f>
        <v>10.736000000000001</v>
      </c>
      <c r="O12" s="169">
        <f t="shared" ref="O12:O14" si="11">M12*$O$2</f>
        <v>704.80715781907202</v>
      </c>
    </row>
    <row r="13" spans="1:15">
      <c r="A13" s="148" t="s">
        <v>507</v>
      </c>
      <c r="B13" s="148" t="s">
        <v>330</v>
      </c>
      <c r="C13" s="148" t="s">
        <v>215</v>
      </c>
      <c r="D13" s="148" t="s">
        <v>495</v>
      </c>
      <c r="E13" s="148" t="s">
        <v>509</v>
      </c>
      <c r="F13" s="412">
        <f>('9a. Workforce'!G11*7/12)+('9a. Workforce'!J11*5/12*0.7)</f>
        <v>14.561743777777778</v>
      </c>
      <c r="G13" s="169">
        <f>('9a. Workforce'!H11*7/12)+('9a. Workforce'!K11*5/12*0.7)</f>
        <v>783.25667062222215</v>
      </c>
      <c r="H13" s="412">
        <f>'9a. Workforce'!L11</f>
        <v>28.206400000000002</v>
      </c>
      <c r="I13" s="169">
        <f>'9a. Workforce'!M11</f>
        <v>1619.04736</v>
      </c>
      <c r="J13" s="412">
        <f t="shared" si="6"/>
        <v>28.206400000000002</v>
      </c>
      <c r="K13" s="169">
        <f t="shared" si="7"/>
        <v>1654.66640192</v>
      </c>
      <c r="L13" s="412">
        <f t="shared" si="8"/>
        <v>28.206400000000002</v>
      </c>
      <c r="M13" s="169">
        <f t="shared" si="9"/>
        <v>1691.06906276224</v>
      </c>
      <c r="N13" s="412">
        <f t="shared" si="10"/>
        <v>28.206400000000002</v>
      </c>
      <c r="O13" s="169">
        <f t="shared" si="11"/>
        <v>1728.2725821430095</v>
      </c>
    </row>
    <row r="14" spans="1:15">
      <c r="A14" s="148" t="s">
        <v>507</v>
      </c>
      <c r="B14" s="148" t="s">
        <v>330</v>
      </c>
      <c r="C14" s="148" t="s">
        <v>215</v>
      </c>
      <c r="D14" s="148" t="s">
        <v>497</v>
      </c>
      <c r="E14" s="148" t="s">
        <v>510</v>
      </c>
      <c r="F14" s="412">
        <f>('9a. Workforce'!G12*7/12)+('9a. Workforce'!J12*5/12*0.7)</f>
        <v>6.4875533333333326</v>
      </c>
      <c r="G14" s="169">
        <f>('9a. Workforce'!H12*7/12)+('9a. Workforce'!K12*5/12*0.7)</f>
        <v>198.61961933333333</v>
      </c>
      <c r="H14" s="412">
        <f>'9a. Workforce'!L12</f>
        <v>12.687999999999999</v>
      </c>
      <c r="I14" s="169">
        <f>'9a. Workforce'!M12</f>
        <v>397.13439999999997</v>
      </c>
      <c r="J14" s="412">
        <f t="shared" si="6"/>
        <v>12.687999999999999</v>
      </c>
      <c r="K14" s="169">
        <f t="shared" si="7"/>
        <v>405.8713568</v>
      </c>
      <c r="L14" s="412">
        <f t="shared" si="8"/>
        <v>12.687999999999999</v>
      </c>
      <c r="M14" s="169">
        <f t="shared" si="9"/>
        <v>414.80052664959999</v>
      </c>
      <c r="N14" s="412">
        <f t="shared" si="10"/>
        <v>12.687999999999999</v>
      </c>
      <c r="O14" s="169">
        <f t="shared" si="11"/>
        <v>423.92613823589119</v>
      </c>
    </row>
    <row r="15" spans="1:15">
      <c r="A15" s="148" t="s">
        <v>511</v>
      </c>
      <c r="B15" s="148" t="s">
        <v>330</v>
      </c>
      <c r="C15" s="148" t="s">
        <v>216</v>
      </c>
      <c r="D15" s="148" t="s">
        <v>512</v>
      </c>
      <c r="E15" s="148" t="s">
        <v>513</v>
      </c>
      <c r="F15" s="412">
        <f>('9a. Workforce'!G13*7/12)+('9a. Workforce'!J13*5/12)</f>
        <v>1.0956666666666668</v>
      </c>
      <c r="G15" s="169">
        <f>('9a. Workforce'!H13*7/12)+('9a. Workforce'!K13*5/12)</f>
        <v>68.616066666666654</v>
      </c>
      <c r="H15" s="412">
        <f>'9a. Workforce'!L13</f>
        <v>1.8399999999999999</v>
      </c>
      <c r="I15" s="169">
        <f>'9a. Workforce'!M13</f>
        <v>107.824</v>
      </c>
      <c r="J15" s="412">
        <f>H15*$K$1</f>
        <v>1.86944</v>
      </c>
      <c r="K15" s="169">
        <f>I15*$K$3</f>
        <v>111.921312</v>
      </c>
      <c r="L15" s="412">
        <f>J15*$M$1</f>
        <v>1.90308992</v>
      </c>
      <c r="M15" s="169">
        <f>K15*$M$3</f>
        <v>116.39816448000001</v>
      </c>
      <c r="N15" s="415">
        <f>L15*$O$1</f>
        <v>1.9354424486399997</v>
      </c>
      <c r="O15" s="416">
        <f>M15*$O$3</f>
        <v>120.93769289472</v>
      </c>
    </row>
    <row r="16" spans="1:15">
      <c r="A16" s="148" t="s">
        <v>514</v>
      </c>
      <c r="B16" s="148" t="s">
        <v>330</v>
      </c>
      <c r="C16" s="148" t="s">
        <v>115</v>
      </c>
      <c r="D16" s="148" t="s">
        <v>115</v>
      </c>
      <c r="E16" s="148" t="s">
        <v>515</v>
      </c>
      <c r="F16" s="412">
        <f>('9a. Workforce'!G14*7/12)+('9a. Workforce'!J14*5/12)</f>
        <v>0.83493750000000011</v>
      </c>
      <c r="G16" s="169">
        <f>(('9a. Workforce'!H14*7/12)+('9a. Workforce'!K14*5/12))*0.971</f>
        <v>113.45806403437254</v>
      </c>
      <c r="H16" s="412">
        <f>'9a. Workforce'!L14</f>
        <v>0.91500000000000004</v>
      </c>
      <c r="I16" s="169">
        <f>'9a. Workforce'!M14</f>
        <v>128.05108591269843</v>
      </c>
      <c r="J16" s="412">
        <f t="shared" ref="J16:J23" si="12">H16</f>
        <v>0.91500000000000004</v>
      </c>
      <c r="K16" s="169">
        <f t="shared" ref="K16:K23" si="13">I16*$K$2</f>
        <v>130.86820980277778</v>
      </c>
      <c r="L16" s="412">
        <f t="shared" ref="L16:L23" si="14">J16</f>
        <v>0.91500000000000004</v>
      </c>
      <c r="M16" s="169">
        <f>K16*$M$2</f>
        <v>133.7473104184389</v>
      </c>
      <c r="N16" s="412">
        <f t="shared" ref="N16:N23" si="15">L16</f>
        <v>0.91500000000000004</v>
      </c>
      <c r="O16" s="169">
        <f t="shared" ref="O16:O23" si="16">M16*$O$2</f>
        <v>136.68975124764455</v>
      </c>
    </row>
    <row r="17" spans="1:15">
      <c r="A17" s="148" t="s">
        <v>514</v>
      </c>
      <c r="B17" s="148" t="s">
        <v>330</v>
      </c>
      <c r="C17" s="148" t="s">
        <v>214</v>
      </c>
      <c r="D17" s="148" t="s">
        <v>516</v>
      </c>
      <c r="E17" s="148" t="s">
        <v>517</v>
      </c>
      <c r="F17" s="412">
        <f>('9a. Workforce'!G15*7/12)+('9a. Workforce'!J15*5/12)</f>
        <v>1.18625</v>
      </c>
      <c r="G17" s="169">
        <f>(('9a. Workforce'!H15*7/12)+('9a. Workforce'!K15*5/12))*0.971</f>
        <v>102.07683622500002</v>
      </c>
      <c r="H17" s="412">
        <f>'9a. Workforce'!L15</f>
        <v>1.3</v>
      </c>
      <c r="I17" s="169">
        <f>'9a. Workforce'!M15</f>
        <v>115.20600000000002</v>
      </c>
      <c r="J17" s="412">
        <f t="shared" si="12"/>
        <v>1.3</v>
      </c>
      <c r="K17" s="169">
        <f t="shared" si="13"/>
        <v>117.74053200000002</v>
      </c>
      <c r="L17" s="412">
        <f t="shared" si="14"/>
        <v>1.3</v>
      </c>
      <c r="M17" s="169">
        <f t="shared" ref="M17:M23" si="17">K17*$M$2</f>
        <v>120.33082370400003</v>
      </c>
      <c r="N17" s="412">
        <f t="shared" si="15"/>
        <v>1.3</v>
      </c>
      <c r="O17" s="169">
        <f t="shared" si="16"/>
        <v>122.97810182548803</v>
      </c>
    </row>
    <row r="18" spans="1:15">
      <c r="A18" s="148" t="s">
        <v>514</v>
      </c>
      <c r="B18" s="148" t="s">
        <v>330</v>
      </c>
      <c r="C18" s="148" t="s">
        <v>215</v>
      </c>
      <c r="D18" s="148" t="s">
        <v>499</v>
      </c>
      <c r="E18" s="148" t="s">
        <v>518</v>
      </c>
      <c r="F18" s="412">
        <f>('9a. Workforce'!G16*7/12)+('9a. Workforce'!J16*5/12)</f>
        <v>1.2090625000000002</v>
      </c>
      <c r="G18" s="169">
        <f>('9a. Workforce'!H16*7/12)+('9a. Workforce'!K16*5/12)</f>
        <v>71.092874999999992</v>
      </c>
      <c r="H18" s="412">
        <f>'9a. Workforce'!L16</f>
        <v>1.325</v>
      </c>
      <c r="I18" s="169">
        <f>'9a. Workforce'!M16</f>
        <v>77.91</v>
      </c>
      <c r="J18" s="412">
        <f t="shared" si="12"/>
        <v>1.325</v>
      </c>
      <c r="K18" s="169">
        <f t="shared" si="13"/>
        <v>79.624020000000002</v>
      </c>
      <c r="L18" s="412">
        <f t="shared" si="14"/>
        <v>1.325</v>
      </c>
      <c r="M18" s="169">
        <f t="shared" si="17"/>
        <v>81.37574844000001</v>
      </c>
      <c r="N18" s="412">
        <f t="shared" si="15"/>
        <v>1.325</v>
      </c>
      <c r="O18" s="169">
        <f t="shared" si="16"/>
        <v>83.166014905680015</v>
      </c>
    </row>
    <row r="19" spans="1:15">
      <c r="A19" s="148" t="s">
        <v>514</v>
      </c>
      <c r="B19" s="148" t="s">
        <v>330</v>
      </c>
      <c r="C19" s="148" t="s">
        <v>215</v>
      </c>
      <c r="D19" s="148" t="s">
        <v>495</v>
      </c>
      <c r="E19" s="148" t="s">
        <v>518</v>
      </c>
      <c r="F19" s="412">
        <f>('9a. Workforce'!G17*7/12)+('9a. Workforce'!J17*5/12)</f>
        <v>2.6234375000000001</v>
      </c>
      <c r="G19" s="169">
        <f>('9a. Workforce'!H17*7/12)+('9a. Workforce'!K17*5/12)</f>
        <v>156.356875</v>
      </c>
      <c r="H19" s="412">
        <f>'9a. Workforce'!L17</f>
        <v>2.875</v>
      </c>
      <c r="I19" s="169">
        <f>'9a. Workforce'!M17</f>
        <v>171.35</v>
      </c>
      <c r="J19" s="412">
        <f t="shared" si="12"/>
        <v>2.875</v>
      </c>
      <c r="K19" s="169">
        <f t="shared" si="13"/>
        <v>175.11969999999999</v>
      </c>
      <c r="L19" s="412">
        <f t="shared" si="14"/>
        <v>2.875</v>
      </c>
      <c r="M19" s="169">
        <f t="shared" si="17"/>
        <v>178.9723334</v>
      </c>
      <c r="N19" s="412">
        <f t="shared" si="15"/>
        <v>2.875</v>
      </c>
      <c r="O19" s="169">
        <f t="shared" si="16"/>
        <v>182.90972473479999</v>
      </c>
    </row>
    <row r="20" spans="1:15">
      <c r="A20" s="148" t="s">
        <v>514</v>
      </c>
      <c r="B20" s="148" t="s">
        <v>330</v>
      </c>
      <c r="C20" s="148" t="s">
        <v>215</v>
      </c>
      <c r="D20" s="148" t="s">
        <v>503</v>
      </c>
      <c r="E20" s="148" t="s">
        <v>518</v>
      </c>
      <c r="F20" s="412">
        <f>('9a. Workforce'!G18*7/12)+('9a. Workforce'!J18*5/12)</f>
        <v>2.600625</v>
      </c>
      <c r="G20" s="169">
        <f>('9a. Workforce'!H18*7/12)+('9a. Workforce'!K18*5/12)</f>
        <v>117.80831249999999</v>
      </c>
      <c r="H20" s="412">
        <f>'9a. Workforce'!L18</f>
        <v>2.85</v>
      </c>
      <c r="I20" s="169">
        <f>'9a. Workforce'!M18</f>
        <v>129.10499999999999</v>
      </c>
      <c r="J20" s="412">
        <f t="shared" si="12"/>
        <v>2.85</v>
      </c>
      <c r="K20" s="169">
        <f t="shared" si="13"/>
        <v>131.94530999999998</v>
      </c>
      <c r="L20" s="412">
        <f t="shared" si="14"/>
        <v>2.85</v>
      </c>
      <c r="M20" s="169">
        <f t="shared" si="17"/>
        <v>134.84810681999997</v>
      </c>
      <c r="N20" s="412">
        <f t="shared" si="15"/>
        <v>2.85</v>
      </c>
      <c r="O20" s="169">
        <f t="shared" si="16"/>
        <v>137.81476517003998</v>
      </c>
    </row>
    <row r="21" spans="1:15">
      <c r="A21" s="148" t="s">
        <v>514</v>
      </c>
      <c r="B21" s="148" t="s">
        <v>330</v>
      </c>
      <c r="C21" s="148" t="s">
        <v>215</v>
      </c>
      <c r="D21" s="148" t="s">
        <v>497</v>
      </c>
      <c r="E21" s="148" t="s">
        <v>519</v>
      </c>
      <c r="F21" s="412">
        <f>('9a. Workforce'!G19*7/12)+('9a. Workforce'!J19*5/12)</f>
        <v>1.18625</v>
      </c>
      <c r="G21" s="169">
        <f>('9a. Workforce'!H19*7/12)+('9a. Workforce'!K19*5/12)</f>
        <v>44.12850000000001</v>
      </c>
      <c r="H21" s="412">
        <f>'9a. Workforce'!L19</f>
        <v>1.3</v>
      </c>
      <c r="I21" s="169">
        <f>'9a. Workforce'!M19</f>
        <v>48.360000000000007</v>
      </c>
      <c r="J21" s="412">
        <f t="shared" si="12"/>
        <v>1.3</v>
      </c>
      <c r="K21" s="169">
        <f t="shared" si="13"/>
        <v>49.42392000000001</v>
      </c>
      <c r="L21" s="412">
        <f t="shared" si="14"/>
        <v>1.3</v>
      </c>
      <c r="M21" s="169">
        <f t="shared" si="17"/>
        <v>50.511246240000013</v>
      </c>
      <c r="N21" s="412">
        <f t="shared" si="15"/>
        <v>1.3</v>
      </c>
      <c r="O21" s="169">
        <f t="shared" si="16"/>
        <v>51.62249365728001</v>
      </c>
    </row>
    <row r="22" spans="1:15">
      <c r="A22" s="148" t="s">
        <v>514</v>
      </c>
      <c r="B22" s="148" t="s">
        <v>330</v>
      </c>
      <c r="C22" s="148" t="s">
        <v>212</v>
      </c>
      <c r="D22" s="148" t="s">
        <v>520</v>
      </c>
      <c r="E22" s="148" t="s">
        <v>521</v>
      </c>
      <c r="F22" s="412">
        <f>('9a. Workforce'!G20*7/12)+('9a. Workforce'!J20*5/12)</f>
        <v>0.22812500000000002</v>
      </c>
      <c r="G22" s="169">
        <f>('9a. Workforce'!H20*7/12)+('9a. Workforce'!K20*5/12)</f>
        <v>13.41375</v>
      </c>
      <c r="H22" s="412">
        <f>'9a. Workforce'!L20</f>
        <v>0.25</v>
      </c>
      <c r="I22" s="169">
        <f>'9a. Workforce'!M20</f>
        <v>14.7</v>
      </c>
      <c r="J22" s="412">
        <f t="shared" si="12"/>
        <v>0.25</v>
      </c>
      <c r="K22" s="169">
        <f t="shared" si="13"/>
        <v>15.023399999999999</v>
      </c>
      <c r="L22" s="412">
        <f t="shared" si="14"/>
        <v>0.25</v>
      </c>
      <c r="M22" s="169">
        <f t="shared" si="17"/>
        <v>15.353914799999998</v>
      </c>
      <c r="N22" s="412">
        <f t="shared" si="15"/>
        <v>0.25</v>
      </c>
      <c r="O22" s="169">
        <f t="shared" si="16"/>
        <v>15.691700925599999</v>
      </c>
    </row>
    <row r="23" spans="1:15">
      <c r="A23" s="148" t="s">
        <v>514</v>
      </c>
      <c r="B23" s="148" t="s">
        <v>330</v>
      </c>
      <c r="C23" s="148" t="s">
        <v>216</v>
      </c>
      <c r="D23" s="148" t="s">
        <v>512</v>
      </c>
      <c r="E23" s="148" t="s">
        <v>513</v>
      </c>
      <c r="F23" s="412">
        <f>('9a. Workforce'!G21*7/12)+('9a. Workforce'!J21*5/12)</f>
        <v>0.11406250000000001</v>
      </c>
      <c r="G23" s="169">
        <f>('9a. Workforce'!H21*7/12)+('9a. Workforce'!K21*5/12)</f>
        <v>7.3403124999999996</v>
      </c>
      <c r="H23" s="412">
        <f>'9a. Workforce'!L21</f>
        <v>0.125</v>
      </c>
      <c r="I23" s="169">
        <f>'9a. Workforce'!M21</f>
        <v>7.3250000000000002</v>
      </c>
      <c r="J23" s="412">
        <f t="shared" si="12"/>
        <v>0.125</v>
      </c>
      <c r="K23" s="169">
        <f t="shared" si="13"/>
        <v>7.4861500000000003</v>
      </c>
      <c r="L23" s="412">
        <f t="shared" si="14"/>
        <v>0.125</v>
      </c>
      <c r="M23" s="169">
        <f t="shared" si="17"/>
        <v>7.6508453000000003</v>
      </c>
      <c r="N23" s="412">
        <f t="shared" si="15"/>
        <v>0.125</v>
      </c>
      <c r="O23" s="169">
        <f t="shared" si="16"/>
        <v>7.8191638966000001</v>
      </c>
    </row>
    <row r="24" spans="1:15">
      <c r="A24" s="148" t="s">
        <v>528</v>
      </c>
      <c r="B24" s="148" t="s">
        <v>330</v>
      </c>
      <c r="C24" s="148" t="s">
        <v>215</v>
      </c>
      <c r="D24" s="148" t="s">
        <v>495</v>
      </c>
      <c r="E24" s="148" t="s">
        <v>529</v>
      </c>
      <c r="F24" s="412">
        <f>('9a. Workforce'!G22*7/12)+('9a. Workforce'!J22*5/12)</f>
        <v>1.4354666666666667</v>
      </c>
      <c r="G24" s="169">
        <f>('9a. Workforce'!H22*7/12)+('9a. Workforce'!K22*5/12)</f>
        <v>69.476586666666662</v>
      </c>
      <c r="H24" s="412">
        <f>'9a. Workforce'!L22</f>
        <v>2.464</v>
      </c>
      <c r="I24" s="169">
        <f>'9a. Workforce'!M22</f>
        <v>119.2576</v>
      </c>
      <c r="J24" s="412">
        <f t="shared" ref="J24:J36" si="18">H24*$K$1</f>
        <v>2.5034239999999999</v>
      </c>
      <c r="K24" s="169">
        <f t="shared" ref="K24:K36" si="19">I24*$K$3</f>
        <v>123.7893888</v>
      </c>
      <c r="L24" s="412">
        <f t="shared" ref="L24:L36" si="20">J24*$M$1</f>
        <v>2.5484856319999998</v>
      </c>
      <c r="M24" s="169">
        <f t="shared" ref="M24:M36" si="21">K24*$M$3</f>
        <v>128.74096435199999</v>
      </c>
      <c r="N24" s="415">
        <f t="shared" ref="N24:N36" si="22">L24*$O$1</f>
        <v>2.5918098877439997</v>
      </c>
      <c r="O24" s="416">
        <f t="shared" ref="O24:O36" si="23">M24*$O$3</f>
        <v>133.76186196172799</v>
      </c>
    </row>
    <row r="25" spans="1:15">
      <c r="A25" s="148" t="s">
        <v>531</v>
      </c>
      <c r="B25" s="148" t="s">
        <v>330</v>
      </c>
      <c r="C25" s="148" t="s">
        <v>212</v>
      </c>
      <c r="D25" s="148" t="s">
        <v>532</v>
      </c>
      <c r="E25" s="148" t="s">
        <v>533</v>
      </c>
      <c r="F25" s="412">
        <f>('9a. Workforce'!G23*7/12)+('9a. Workforce'!J23*5/12)</f>
        <v>0.34583333333333327</v>
      </c>
      <c r="G25" s="169">
        <f>('9a. Workforce'!H23*7/12)+('9a. Workforce'!K23*5/12)</f>
        <v>20.334999999999997</v>
      </c>
      <c r="H25" s="412">
        <f>'9a. Workforce'!L23</f>
        <v>1</v>
      </c>
      <c r="I25" s="169">
        <f>'9a. Workforce'!M23</f>
        <v>58.8</v>
      </c>
      <c r="J25" s="412">
        <f t="shared" si="18"/>
        <v>1.016</v>
      </c>
      <c r="K25" s="169">
        <f t="shared" si="19"/>
        <v>61.034399999999998</v>
      </c>
      <c r="L25" s="412">
        <f t="shared" si="20"/>
        <v>1.0342880000000001</v>
      </c>
      <c r="M25" s="169">
        <f t="shared" si="21"/>
        <v>63.475776000000003</v>
      </c>
      <c r="N25" s="415">
        <f t="shared" si="22"/>
        <v>1.0518708960000001</v>
      </c>
      <c r="O25" s="416">
        <f t="shared" si="23"/>
        <v>65.951331264000004</v>
      </c>
    </row>
    <row r="26" spans="1:15">
      <c r="A26" s="148" t="s">
        <v>531</v>
      </c>
      <c r="B26" s="148" t="s">
        <v>330</v>
      </c>
      <c r="C26" s="148" t="s">
        <v>212</v>
      </c>
      <c r="D26" s="148" t="s">
        <v>535</v>
      </c>
      <c r="E26" s="148" t="s">
        <v>533</v>
      </c>
      <c r="F26" s="412">
        <f>('9a. Workforce'!G24*7/12)+('9a. Workforce'!J24*5/12)</f>
        <v>0.9291666666666667</v>
      </c>
      <c r="G26" s="169">
        <f>('9a. Workforce'!H24*7/12)+('9a. Workforce'!K24*5/12)</f>
        <v>54.542083333333338</v>
      </c>
      <c r="H26" s="412">
        <f>'9a. Workforce'!L24</f>
        <v>1</v>
      </c>
      <c r="I26" s="169">
        <f>'9a. Workforce'!M24</f>
        <v>58.7</v>
      </c>
      <c r="J26" s="412">
        <f t="shared" si="18"/>
        <v>1.016</v>
      </c>
      <c r="K26" s="169">
        <f t="shared" si="19"/>
        <v>60.930600000000005</v>
      </c>
      <c r="L26" s="412">
        <f t="shared" si="20"/>
        <v>1.0342880000000001</v>
      </c>
      <c r="M26" s="169">
        <f t="shared" si="21"/>
        <v>63.367824000000006</v>
      </c>
      <c r="N26" s="415">
        <f t="shared" si="22"/>
        <v>1.0518708960000001</v>
      </c>
      <c r="O26" s="416">
        <f t="shared" si="23"/>
        <v>65.839169135999995</v>
      </c>
    </row>
    <row r="27" spans="1:15">
      <c r="A27" s="148" t="s">
        <v>531</v>
      </c>
      <c r="B27" s="148" t="s">
        <v>330</v>
      </c>
      <c r="C27" s="148" t="s">
        <v>212</v>
      </c>
      <c r="D27" s="148" t="s">
        <v>520</v>
      </c>
      <c r="E27" s="148" t="s">
        <v>521</v>
      </c>
      <c r="F27" s="412">
        <f>('9a. Workforce'!G25*7/12)+('9a. Workforce'!J25*5/12)</f>
        <v>1.2369583333333334</v>
      </c>
      <c r="G27" s="169">
        <f>('9a. Workforce'!H25*7/12)+('9a. Workforce'!K25*5/12)</f>
        <v>72.733149999999995</v>
      </c>
      <c r="H27" s="412">
        <f>'9a. Workforce'!L25</f>
        <v>1.89</v>
      </c>
      <c r="I27" s="169">
        <f>'9a. Workforce'!M25</f>
        <v>111.13199999999999</v>
      </c>
      <c r="J27" s="412">
        <f t="shared" si="18"/>
        <v>1.9202399999999999</v>
      </c>
      <c r="K27" s="169">
        <f t="shared" si="19"/>
        <v>115.35501599999999</v>
      </c>
      <c r="L27" s="412">
        <f t="shared" si="20"/>
        <v>1.95480432</v>
      </c>
      <c r="M27" s="169">
        <f t="shared" si="21"/>
        <v>119.96921664</v>
      </c>
      <c r="N27" s="415">
        <f t="shared" si="22"/>
        <v>1.9880359934399998</v>
      </c>
      <c r="O27" s="416">
        <f t="shared" si="23"/>
        <v>124.64801608895999</v>
      </c>
    </row>
    <row r="28" spans="1:15">
      <c r="A28" s="148" t="s">
        <v>531</v>
      </c>
      <c r="B28" s="148" t="s">
        <v>330</v>
      </c>
      <c r="C28" s="148" t="s">
        <v>212</v>
      </c>
      <c r="D28" s="148" t="s">
        <v>537</v>
      </c>
      <c r="E28" s="148" t="s">
        <v>521</v>
      </c>
      <c r="F28" s="412">
        <f>('9a. Workforce'!G26*7/12)+('9a. Workforce'!J26*5/12)</f>
        <v>2.6583333333333332</v>
      </c>
      <c r="G28" s="169">
        <f>('9a. Workforce'!H26*7/12)+('9a. Workforce'!K26*5/12)</f>
        <v>128.66333333333333</v>
      </c>
      <c r="H28" s="412">
        <f>'9a. Workforce'!L26</f>
        <v>6</v>
      </c>
      <c r="I28" s="169">
        <f>'9a. Workforce'!M26</f>
        <v>290.39999999999998</v>
      </c>
      <c r="J28" s="412">
        <f t="shared" si="18"/>
        <v>6.0960000000000001</v>
      </c>
      <c r="K28" s="169">
        <f t="shared" si="19"/>
        <v>301.43520000000001</v>
      </c>
      <c r="L28" s="412">
        <f t="shared" si="20"/>
        <v>6.2057280000000006</v>
      </c>
      <c r="M28" s="169">
        <f t="shared" si="21"/>
        <v>313.49260800000002</v>
      </c>
      <c r="N28" s="415">
        <f t="shared" si="22"/>
        <v>6.3112253760000003</v>
      </c>
      <c r="O28" s="416">
        <f t="shared" si="23"/>
        <v>325.71881971199997</v>
      </c>
    </row>
    <row r="29" spans="1:15">
      <c r="A29" s="148" t="s">
        <v>531</v>
      </c>
      <c r="B29" s="148" t="s">
        <v>330</v>
      </c>
      <c r="C29" s="148" t="s">
        <v>212</v>
      </c>
      <c r="D29" s="148" t="s">
        <v>538</v>
      </c>
      <c r="E29" s="148" t="s">
        <v>521</v>
      </c>
      <c r="F29" s="412">
        <f>('9a. Workforce'!G27*7/12)+('9a. Workforce'!J27*5/12)</f>
        <v>1.2749999999999999</v>
      </c>
      <c r="G29" s="169">
        <f>('9a. Workforce'!H27*7/12)+('9a. Workforce'!K27*5/12)</f>
        <v>74.842500000000001</v>
      </c>
      <c r="H29" s="412">
        <f>'9a. Workforce'!L27</f>
        <v>2</v>
      </c>
      <c r="I29" s="169">
        <f>'9a. Workforce'!M27</f>
        <v>117.4</v>
      </c>
      <c r="J29" s="412">
        <f t="shared" si="18"/>
        <v>2.032</v>
      </c>
      <c r="K29" s="169">
        <f t="shared" si="19"/>
        <v>121.86120000000001</v>
      </c>
      <c r="L29" s="412">
        <f t="shared" si="20"/>
        <v>2.0685760000000002</v>
      </c>
      <c r="M29" s="169">
        <f t="shared" si="21"/>
        <v>126.73564800000001</v>
      </c>
      <c r="N29" s="415">
        <f t="shared" si="22"/>
        <v>2.1037417920000001</v>
      </c>
      <c r="O29" s="416">
        <f t="shared" si="23"/>
        <v>131.67833827199999</v>
      </c>
    </row>
    <row r="30" spans="1:15">
      <c r="A30" s="148" t="s">
        <v>531</v>
      </c>
      <c r="B30" s="148" t="s">
        <v>330</v>
      </c>
      <c r="C30" s="148" t="s">
        <v>212</v>
      </c>
      <c r="D30" s="148" t="s">
        <v>539</v>
      </c>
      <c r="E30" s="148" t="s">
        <v>521</v>
      </c>
      <c r="F30" s="412">
        <f>('9a. Workforce'!G28*7/12)+('9a. Workforce'!J28*5/12)</f>
        <v>1.9911249999999998</v>
      </c>
      <c r="G30" s="169">
        <f>('9a. Workforce'!H28*7/12)+('9a. Workforce'!K28*5/12)</f>
        <v>69.092037500000004</v>
      </c>
      <c r="H30" s="412">
        <f>'9a. Workforce'!L28</f>
        <v>2.8899999999999997</v>
      </c>
      <c r="I30" s="169">
        <f>'9a. Workforce'!M28</f>
        <v>100.283</v>
      </c>
      <c r="J30" s="412">
        <f t="shared" si="18"/>
        <v>2.9362399999999997</v>
      </c>
      <c r="K30" s="169">
        <f t="shared" si="19"/>
        <v>104.093754</v>
      </c>
      <c r="L30" s="412">
        <f t="shared" si="20"/>
        <v>2.9890923199999997</v>
      </c>
      <c r="M30" s="169">
        <f t="shared" si="21"/>
        <v>108.25750416000001</v>
      </c>
      <c r="N30" s="415">
        <f t="shared" si="22"/>
        <v>3.0399068894399992</v>
      </c>
      <c r="O30" s="416">
        <f t="shared" si="23"/>
        <v>112.47954682224</v>
      </c>
    </row>
    <row r="31" spans="1:15">
      <c r="A31" s="148" t="s">
        <v>531</v>
      </c>
      <c r="B31" s="148" t="s">
        <v>330</v>
      </c>
      <c r="C31" s="148" t="s">
        <v>212</v>
      </c>
      <c r="D31" s="148" t="s">
        <v>540</v>
      </c>
      <c r="E31" s="148" t="s">
        <v>521</v>
      </c>
      <c r="F31" s="412">
        <f>('9a. Workforce'!G29*7/12)+('9a. Workforce'!J29*5/12)</f>
        <v>0.34583333333333327</v>
      </c>
      <c r="G31" s="169">
        <f>('9a. Workforce'!H29*7/12)+('9a. Workforce'!K29*5/12)</f>
        <v>20.265833333333333</v>
      </c>
      <c r="H31" s="412">
        <f>'9a. Workforce'!L29</f>
        <v>1</v>
      </c>
      <c r="I31" s="169">
        <f>'9a. Workforce'!M29</f>
        <v>58.6</v>
      </c>
      <c r="J31" s="412">
        <f t="shared" si="18"/>
        <v>1.016</v>
      </c>
      <c r="K31" s="169">
        <f t="shared" si="19"/>
        <v>60.826800000000006</v>
      </c>
      <c r="L31" s="412">
        <f t="shared" si="20"/>
        <v>1.0342880000000001</v>
      </c>
      <c r="M31" s="169">
        <f t="shared" si="21"/>
        <v>63.259872000000009</v>
      </c>
      <c r="N31" s="415">
        <f t="shared" si="22"/>
        <v>1.0518708960000001</v>
      </c>
      <c r="O31" s="416">
        <f t="shared" si="23"/>
        <v>65.727007008000001</v>
      </c>
    </row>
    <row r="32" spans="1:15">
      <c r="A32" s="148" t="s">
        <v>541</v>
      </c>
      <c r="B32" s="148" t="s">
        <v>330</v>
      </c>
      <c r="C32" s="148" t="s">
        <v>212</v>
      </c>
      <c r="D32" s="148" t="s">
        <v>542</v>
      </c>
      <c r="E32" s="148" t="s">
        <v>543</v>
      </c>
      <c r="F32" s="412">
        <f>('9a. Workforce'!G30*7/12)+('9a. Workforce'!J30*5/12)</f>
        <v>1.5114444444444444</v>
      </c>
      <c r="G32" s="169">
        <f>('9a. Workforce'!H30*7/12)+('9a. Workforce'!K30*5/12)</f>
        <v>88.872933333333322</v>
      </c>
      <c r="H32" s="412">
        <f>'9a. Workforce'!L30</f>
        <v>1.6266666666666667</v>
      </c>
      <c r="I32" s="169">
        <f>'9a. Workforce'!M30</f>
        <v>95.647999999999996</v>
      </c>
      <c r="J32" s="412">
        <f t="shared" si="18"/>
        <v>1.6526933333333333</v>
      </c>
      <c r="K32" s="169">
        <f t="shared" si="19"/>
        <v>99.282623999999998</v>
      </c>
      <c r="L32" s="412">
        <f t="shared" si="20"/>
        <v>1.6824418133333334</v>
      </c>
      <c r="M32" s="169">
        <f t="shared" si="21"/>
        <v>103.25392896</v>
      </c>
      <c r="N32" s="415">
        <f t="shared" si="22"/>
        <v>1.7110433241599998</v>
      </c>
      <c r="O32" s="416">
        <f t="shared" si="23"/>
        <v>107.28083218943999</v>
      </c>
    </row>
    <row r="33" spans="1:15">
      <c r="A33" s="148" t="s">
        <v>541</v>
      </c>
      <c r="B33" s="148" t="s">
        <v>330</v>
      </c>
      <c r="C33" s="148" t="s">
        <v>212</v>
      </c>
      <c r="D33" s="148" t="s">
        <v>544</v>
      </c>
      <c r="E33" s="148" t="s">
        <v>543</v>
      </c>
      <c r="F33" s="412">
        <f>('9a. Workforce'!G31*7/12)+('9a. Workforce'!J31*5/12)</f>
        <v>2.7771944444444445</v>
      </c>
      <c r="G33" s="169">
        <f>('9a. Workforce'!H31*7/12)+('9a. Workforce'!K31*5/12)</f>
        <v>134.4162111111111</v>
      </c>
      <c r="H33" s="412">
        <f>'9a. Workforce'!L31</f>
        <v>5.2866666666666671</v>
      </c>
      <c r="I33" s="169">
        <f>'9a. Workforce'!M31</f>
        <v>255.87466666666668</v>
      </c>
      <c r="J33" s="412">
        <f t="shared" si="18"/>
        <v>5.3712533333333337</v>
      </c>
      <c r="K33" s="169">
        <f t="shared" si="19"/>
        <v>265.59790400000003</v>
      </c>
      <c r="L33" s="412">
        <f t="shared" si="20"/>
        <v>5.4679358933333342</v>
      </c>
      <c r="M33" s="169">
        <f t="shared" si="21"/>
        <v>276.22182016000005</v>
      </c>
      <c r="N33" s="415">
        <f t="shared" si="22"/>
        <v>5.5608908035200004</v>
      </c>
      <c r="O33" s="416">
        <f t="shared" si="23"/>
        <v>286.99447114624002</v>
      </c>
    </row>
    <row r="34" spans="1:15">
      <c r="A34" s="148" t="s">
        <v>541</v>
      </c>
      <c r="B34" s="148" t="s">
        <v>330</v>
      </c>
      <c r="C34" s="148" t="s">
        <v>115</v>
      </c>
      <c r="D34" s="148" t="s">
        <v>115</v>
      </c>
      <c r="E34" s="148" t="s">
        <v>545</v>
      </c>
      <c r="F34" s="412">
        <f>('9a. Workforce'!G32*7/12)+('9a. Workforce'!J32*5/12)</f>
        <v>0.60339285714285706</v>
      </c>
      <c r="G34" s="169">
        <f>(('9a. Workforce'!H32*7/12)+('9a. Workforce'!K32*5/12))*0.971</f>
        <v>78.076847699999973</v>
      </c>
      <c r="H34" s="412">
        <f>'9a. Workforce'!L32</f>
        <v>0.98571428571428565</v>
      </c>
      <c r="I34" s="169">
        <f>'9a. Workforce'!M32</f>
        <v>134.136</v>
      </c>
      <c r="J34" s="412">
        <f t="shared" si="18"/>
        <v>1.0014857142857143</v>
      </c>
      <c r="K34" s="169">
        <f t="shared" si="19"/>
        <v>139.23316800000001</v>
      </c>
      <c r="L34" s="412">
        <f t="shared" si="20"/>
        <v>1.0195124571428571</v>
      </c>
      <c r="M34" s="169">
        <f t="shared" si="21"/>
        <v>144.80249472</v>
      </c>
      <c r="N34" s="415">
        <f t="shared" si="22"/>
        <v>1.0368441689142855</v>
      </c>
      <c r="O34" s="416">
        <f t="shared" si="23"/>
        <v>150.44979201407997</v>
      </c>
    </row>
    <row r="35" spans="1:15">
      <c r="A35" s="148" t="s">
        <v>541</v>
      </c>
      <c r="B35" s="148" t="s">
        <v>330</v>
      </c>
      <c r="C35" s="148" t="s">
        <v>211</v>
      </c>
      <c r="D35" s="148" t="s">
        <v>546</v>
      </c>
      <c r="E35" s="148" t="s">
        <v>547</v>
      </c>
      <c r="F35" s="412">
        <f>('9a. Workforce'!G33*7/12)+('9a. Workforce'!J33*5/12)</f>
        <v>2.0611899999999999</v>
      </c>
      <c r="G35" s="169">
        <f>('9a. Workforce'!H33*7/12)+('9a. Workforce'!K33*5/12)</f>
        <v>79.768053000000009</v>
      </c>
      <c r="H35" s="412">
        <f>'9a. Workforce'!L33</f>
        <v>3.3672</v>
      </c>
      <c r="I35" s="169">
        <f>'9a. Workforce'!M33</f>
        <v>130.31064000000001</v>
      </c>
      <c r="J35" s="412">
        <f t="shared" si="18"/>
        <v>3.4210752000000002</v>
      </c>
      <c r="K35" s="169">
        <f t="shared" si="19"/>
        <v>135.26244432000001</v>
      </c>
      <c r="L35" s="412">
        <f t="shared" si="20"/>
        <v>3.4826545536000002</v>
      </c>
      <c r="M35" s="169">
        <f t="shared" si="21"/>
        <v>140.67294209280001</v>
      </c>
      <c r="N35" s="415">
        <f t="shared" si="22"/>
        <v>3.5418596810112</v>
      </c>
      <c r="O35" s="416">
        <f t="shared" si="23"/>
        <v>146.15918683441922</v>
      </c>
    </row>
    <row r="36" spans="1:15">
      <c r="A36" s="148" t="s">
        <v>541</v>
      </c>
      <c r="B36" s="148" t="s">
        <v>330</v>
      </c>
      <c r="C36" s="148" t="s">
        <v>211</v>
      </c>
      <c r="D36" s="148" t="s">
        <v>548</v>
      </c>
      <c r="E36" s="148" t="s">
        <v>547</v>
      </c>
      <c r="F36" s="412">
        <f>('9a. Workforce'!G34*7/12)+('9a. Workforce'!J34*5/12)</f>
        <v>2.2526666666666664</v>
      </c>
      <c r="G36" s="169">
        <f>('9a. Workforce'!H34*7/12)+('9a. Workforce'!K34*5/12)</f>
        <v>73.887466666666654</v>
      </c>
      <c r="H36" s="412">
        <f>'9a. Workforce'!L34</f>
        <v>3.6799999999999997</v>
      </c>
      <c r="I36" s="169">
        <f>'9a. Workforce'!M34</f>
        <v>120.70399999999998</v>
      </c>
      <c r="J36" s="412">
        <f t="shared" si="18"/>
        <v>3.73888</v>
      </c>
      <c r="K36" s="169">
        <f t="shared" si="19"/>
        <v>125.29075199999998</v>
      </c>
      <c r="L36" s="412">
        <f t="shared" si="20"/>
        <v>3.80617984</v>
      </c>
      <c r="M36" s="169">
        <f t="shared" si="21"/>
        <v>130.30238208</v>
      </c>
      <c r="N36" s="415">
        <f t="shared" si="22"/>
        <v>3.8708848972799994</v>
      </c>
      <c r="O36" s="416">
        <f t="shared" si="23"/>
        <v>135.38417498112</v>
      </c>
    </row>
    <row r="37" spans="1:15">
      <c r="A37" s="148" t="s">
        <v>549</v>
      </c>
      <c r="B37" s="148" t="s">
        <v>330</v>
      </c>
      <c r="C37" s="148" t="s">
        <v>214</v>
      </c>
      <c r="D37" s="148" t="s">
        <v>550</v>
      </c>
      <c r="E37" s="148" t="s">
        <v>551</v>
      </c>
      <c r="F37" s="412">
        <f>('9a. Workforce'!G35*7/12)+('9a. Workforce'!J35*5/12)</f>
        <v>0.9198291666666667</v>
      </c>
      <c r="G37" s="169">
        <f>(('9a. Workforce'!H35*7/12)+('9a. Workforce'!K35*5/12))*0.971</f>
        <v>77.110020491583327</v>
      </c>
      <c r="H37" s="412">
        <f>'9a. Workforce'!L35</f>
        <v>1.2809999999999999</v>
      </c>
      <c r="I37" s="169">
        <f>'9a. Workforce'!M35</f>
        <v>113.52222</v>
      </c>
      <c r="J37" s="412">
        <f t="shared" ref="J37:J63" si="24">H37</f>
        <v>1.2809999999999999</v>
      </c>
      <c r="K37" s="169">
        <f t="shared" ref="K37:K63" si="25">I37*$K$2</f>
        <v>116.01970884000001</v>
      </c>
      <c r="L37" s="412">
        <f t="shared" ref="L37:L63" si="26">J37</f>
        <v>1.2809999999999999</v>
      </c>
      <c r="M37" s="169">
        <f t="shared" ref="M37:M63" si="27">K37*$M$2</f>
        <v>118.57214243448001</v>
      </c>
      <c r="N37" s="412">
        <f t="shared" ref="N37:N63" si="28">L37</f>
        <v>1.2809999999999999</v>
      </c>
      <c r="O37" s="169">
        <f t="shared" ref="O37:O63" si="29">M37*$O$2</f>
        <v>121.18072956803857</v>
      </c>
    </row>
    <row r="38" spans="1:15">
      <c r="A38" s="148" t="s">
        <v>549</v>
      </c>
      <c r="B38" s="148" t="s">
        <v>330</v>
      </c>
      <c r="C38" s="148" t="s">
        <v>214</v>
      </c>
      <c r="D38" s="148" t="s">
        <v>552</v>
      </c>
      <c r="E38" s="148" t="s">
        <v>553</v>
      </c>
      <c r="F38" s="412">
        <f>('9a. Workforce'!G36*7/12)+('9a. Workforce'!J36*5/12)</f>
        <v>1.1132499999999999</v>
      </c>
      <c r="G38" s="169">
        <f>(('9a. Workforce'!H36*7/12)+('9a. Workforce'!K36*5/12))*0.971</f>
        <v>73.620949333750005</v>
      </c>
      <c r="H38" s="412">
        <f>'9a. Workforce'!L36</f>
        <v>1.22</v>
      </c>
      <c r="I38" s="169">
        <f>'9a. Workforce'!M36</f>
        <v>85.698900000000009</v>
      </c>
      <c r="J38" s="412">
        <f t="shared" si="24"/>
        <v>1.22</v>
      </c>
      <c r="K38" s="169">
        <f t="shared" si="25"/>
        <v>87.584275800000015</v>
      </c>
      <c r="L38" s="412">
        <f t="shared" si="26"/>
        <v>1.22</v>
      </c>
      <c r="M38" s="169">
        <f t="shared" si="27"/>
        <v>89.511129867600019</v>
      </c>
      <c r="N38" s="412">
        <f t="shared" si="28"/>
        <v>1.22</v>
      </c>
      <c r="O38" s="169">
        <f t="shared" si="29"/>
        <v>91.480374724687223</v>
      </c>
    </row>
    <row r="39" spans="1:15">
      <c r="A39" s="148" t="s">
        <v>549</v>
      </c>
      <c r="B39" s="148" t="s">
        <v>330</v>
      </c>
      <c r="C39" s="148" t="s">
        <v>215</v>
      </c>
      <c r="D39" s="148" t="s">
        <v>554</v>
      </c>
      <c r="E39" s="148" t="s">
        <v>555</v>
      </c>
      <c r="F39" s="412">
        <f>('9a. Workforce'!G37*7/12)+('9a. Workforce'!J37*5/12)</f>
        <v>4.0201033333333331</v>
      </c>
      <c r="G39" s="169">
        <f>('9a. Workforce'!H37*7/12)+('9a. Workforce'!K37*5/12)</f>
        <v>245.39905533333337</v>
      </c>
      <c r="H39" s="412">
        <f>'9a. Workforce'!L37</f>
        <v>8.8978666666666655</v>
      </c>
      <c r="I39" s="169">
        <f>'9a. Workforce'!M37</f>
        <v>521.41498666666666</v>
      </c>
      <c r="J39" s="412">
        <f t="shared" si="24"/>
        <v>8.8978666666666655</v>
      </c>
      <c r="K39" s="169">
        <f t="shared" si="25"/>
        <v>532.88611637333338</v>
      </c>
      <c r="L39" s="412">
        <f t="shared" si="26"/>
        <v>8.8978666666666655</v>
      </c>
      <c r="M39" s="169">
        <f t="shared" si="27"/>
        <v>544.60961093354672</v>
      </c>
      <c r="N39" s="412">
        <f t="shared" si="28"/>
        <v>8.8978666666666655</v>
      </c>
      <c r="O39" s="169">
        <f t="shared" si="29"/>
        <v>556.59102237408479</v>
      </c>
    </row>
    <row r="40" spans="1:15">
      <c r="A40" s="148" t="s">
        <v>549</v>
      </c>
      <c r="B40" s="148" t="s">
        <v>330</v>
      </c>
      <c r="C40" s="148" t="s">
        <v>212</v>
      </c>
      <c r="D40" s="148" t="s">
        <v>556</v>
      </c>
      <c r="E40" s="148" t="s">
        <v>521</v>
      </c>
      <c r="F40" s="412">
        <f>('9a. Workforce'!G38*7/12)+('9a. Workforce'!J38*5/12)</f>
        <v>0.32916666666666666</v>
      </c>
      <c r="G40" s="169">
        <f>('9a. Workforce'!H38*7/12)+('9a. Workforce'!K38*5/12)</f>
        <v>19.355</v>
      </c>
      <c r="H40" s="412">
        <f>'9a. Workforce'!L38</f>
        <v>1</v>
      </c>
      <c r="I40" s="169">
        <f>'9a. Workforce'!M38</f>
        <v>58.8</v>
      </c>
      <c r="J40" s="412">
        <f t="shared" si="24"/>
        <v>1</v>
      </c>
      <c r="K40" s="169">
        <f t="shared" si="25"/>
        <v>60.093599999999995</v>
      </c>
      <c r="L40" s="412">
        <f t="shared" si="26"/>
        <v>1</v>
      </c>
      <c r="M40" s="169">
        <f t="shared" si="27"/>
        <v>61.415659199999993</v>
      </c>
      <c r="N40" s="412">
        <f t="shared" si="28"/>
        <v>1</v>
      </c>
      <c r="O40" s="169">
        <f t="shared" si="29"/>
        <v>62.766803702399997</v>
      </c>
    </row>
    <row r="41" spans="1:15">
      <c r="A41" s="148" t="s">
        <v>549</v>
      </c>
      <c r="B41" s="148" t="s">
        <v>330</v>
      </c>
      <c r="C41" s="148" t="s">
        <v>115</v>
      </c>
      <c r="D41" s="148" t="s">
        <v>557</v>
      </c>
      <c r="E41" s="148" t="s">
        <v>558</v>
      </c>
      <c r="F41" s="412">
        <f>('9a. Workforce'!G39*7/12)+('9a. Workforce'!J39*5/12)</f>
        <v>7.7929539295392951</v>
      </c>
      <c r="G41" s="169">
        <f>(('9a. Workforce'!H39*7/12)+('9a. Workforce'!K39*5/12))*0.971</f>
        <v>1006.4361002926827</v>
      </c>
      <c r="H41" s="412">
        <f>'9a. Workforce'!L39</f>
        <v>11.837398373983739</v>
      </c>
      <c r="I41" s="169">
        <f>'9a. Workforce'!M39</f>
        <v>1610.833170731707</v>
      </c>
      <c r="J41" s="412">
        <f t="shared" si="24"/>
        <v>11.837398373983739</v>
      </c>
      <c r="K41" s="169">
        <f t="shared" si="25"/>
        <v>1646.2715004878046</v>
      </c>
      <c r="L41" s="412">
        <f t="shared" si="26"/>
        <v>11.837398373983739</v>
      </c>
      <c r="M41" s="169">
        <f t="shared" si="27"/>
        <v>1682.4894734985364</v>
      </c>
      <c r="N41" s="412">
        <f t="shared" si="28"/>
        <v>11.837398373983739</v>
      </c>
      <c r="O41" s="169">
        <f t="shared" si="29"/>
        <v>1719.5042419155043</v>
      </c>
    </row>
    <row r="42" spans="1:15">
      <c r="A42" s="148" t="s">
        <v>549</v>
      </c>
      <c r="B42" s="148" t="s">
        <v>330</v>
      </c>
      <c r="C42" s="148" t="s">
        <v>214</v>
      </c>
      <c r="D42" s="148" t="s">
        <v>559</v>
      </c>
      <c r="E42" s="148" t="s">
        <v>551</v>
      </c>
      <c r="F42" s="412">
        <f>('9a. Workforce'!G40*7/12)+('9a. Workforce'!J40*5/12)</f>
        <v>7.7929539295392951</v>
      </c>
      <c r="G42" s="169">
        <f>(('9a. Workforce'!H40*7/12)+('9a. Workforce'!K40*5/12))*0.971</f>
        <v>655.42597889430897</v>
      </c>
      <c r="H42" s="412">
        <f>'9a. Workforce'!L40</f>
        <v>11.837398373983739</v>
      </c>
      <c r="I42" s="169">
        <f>'9a. Workforce'!M40</f>
        <v>1049.030243902439</v>
      </c>
      <c r="J42" s="412">
        <f t="shared" si="24"/>
        <v>11.837398373983739</v>
      </c>
      <c r="K42" s="169">
        <f t="shared" si="25"/>
        <v>1072.1089092682926</v>
      </c>
      <c r="L42" s="412">
        <f t="shared" si="26"/>
        <v>11.837398373983739</v>
      </c>
      <c r="M42" s="169">
        <f t="shared" si="27"/>
        <v>1095.6953052721951</v>
      </c>
      <c r="N42" s="412">
        <f t="shared" si="28"/>
        <v>11.837398373983739</v>
      </c>
      <c r="O42" s="169">
        <f t="shared" si="29"/>
        <v>1119.8006019881834</v>
      </c>
    </row>
    <row r="43" spans="1:15">
      <c r="A43" s="148" t="s">
        <v>549</v>
      </c>
      <c r="B43" s="148" t="s">
        <v>330</v>
      </c>
      <c r="C43" s="148" t="s">
        <v>214</v>
      </c>
      <c r="D43" s="148" t="s">
        <v>559</v>
      </c>
      <c r="E43" s="148" t="s">
        <v>560</v>
      </c>
      <c r="F43" s="412">
        <f>('9a. Workforce'!G41*7/12)+('9a. Workforce'!J41*5/12)</f>
        <v>7.7929539295392951</v>
      </c>
      <c r="G43" s="169">
        <f>(('9a. Workforce'!H41*7/12)+('9a. Workforce'!K41*5/12))*0.971</f>
        <v>655.42597889430897</v>
      </c>
      <c r="H43" s="412">
        <f>'9a. Workforce'!L41</f>
        <v>11.837398373983739</v>
      </c>
      <c r="I43" s="169">
        <f>'9a. Workforce'!M41</f>
        <v>1049.030243902439</v>
      </c>
      <c r="J43" s="412">
        <f t="shared" si="24"/>
        <v>11.837398373983739</v>
      </c>
      <c r="K43" s="169">
        <f t="shared" si="25"/>
        <v>1072.1089092682926</v>
      </c>
      <c r="L43" s="412">
        <f t="shared" si="26"/>
        <v>11.837398373983739</v>
      </c>
      <c r="M43" s="169">
        <f t="shared" si="27"/>
        <v>1095.6953052721951</v>
      </c>
      <c r="N43" s="412">
        <f t="shared" si="28"/>
        <v>11.837398373983739</v>
      </c>
      <c r="O43" s="169">
        <f t="shared" si="29"/>
        <v>1119.8006019881834</v>
      </c>
    </row>
    <row r="44" spans="1:15">
      <c r="A44" s="148" t="s">
        <v>549</v>
      </c>
      <c r="B44" s="148" t="s">
        <v>330</v>
      </c>
      <c r="C44" s="148" t="s">
        <v>115</v>
      </c>
      <c r="D44" s="148" t="s">
        <v>561</v>
      </c>
      <c r="E44" s="148" t="s">
        <v>562</v>
      </c>
      <c r="F44" s="412">
        <f>('9a. Workforce'!G42*7/12)+('9a. Workforce'!J42*5/12)</f>
        <v>7.7929539295392951</v>
      </c>
      <c r="G44" s="169">
        <f>(('9a. Workforce'!H42*7/12)+('9a. Workforce'!K42*5/12))*0.971</f>
        <v>1006.4361002926827</v>
      </c>
      <c r="H44" s="412">
        <f>'9a. Workforce'!L42</f>
        <v>11.837398373983739</v>
      </c>
      <c r="I44" s="169">
        <f>'9a. Workforce'!M42</f>
        <v>1610.833170731707</v>
      </c>
      <c r="J44" s="412">
        <f t="shared" si="24"/>
        <v>11.837398373983739</v>
      </c>
      <c r="K44" s="169">
        <f t="shared" si="25"/>
        <v>1646.2715004878046</v>
      </c>
      <c r="L44" s="412">
        <f t="shared" si="26"/>
        <v>11.837398373983739</v>
      </c>
      <c r="M44" s="169">
        <f t="shared" si="27"/>
        <v>1682.4894734985364</v>
      </c>
      <c r="N44" s="412">
        <f t="shared" si="28"/>
        <v>11.837398373983739</v>
      </c>
      <c r="O44" s="169">
        <f t="shared" si="29"/>
        <v>1719.5042419155043</v>
      </c>
    </row>
    <row r="45" spans="1:15">
      <c r="A45" s="148" t="s">
        <v>563</v>
      </c>
      <c r="B45" s="148" t="s">
        <v>330</v>
      </c>
      <c r="C45" s="148" t="s">
        <v>215</v>
      </c>
      <c r="D45" s="148" t="s">
        <v>497</v>
      </c>
      <c r="E45" s="148" t="s">
        <v>564</v>
      </c>
      <c r="F45" s="412">
        <f>('9a. Workforce'!G43*7/12)+('9a. Workforce'!J43*5/12*0.7)</f>
        <v>1.6359583333333334</v>
      </c>
      <c r="G45" s="169">
        <f>('9a. Workforce'!H43*7/12)+('9a. Workforce'!K43*5/12*0.7)</f>
        <v>58.567308333333322</v>
      </c>
      <c r="H45" s="412">
        <f>'9a. Workforce'!L43</f>
        <v>7.1</v>
      </c>
      <c r="I45" s="169">
        <f>'9a. Workforce'!M43</f>
        <v>254.17999999999998</v>
      </c>
      <c r="J45" s="412">
        <f t="shared" si="24"/>
        <v>7.1</v>
      </c>
      <c r="K45" s="169">
        <f t="shared" si="25"/>
        <v>259.77195999999998</v>
      </c>
      <c r="L45" s="412">
        <f t="shared" si="26"/>
        <v>7.1</v>
      </c>
      <c r="M45" s="169">
        <f t="shared" si="27"/>
        <v>265.48694311999998</v>
      </c>
      <c r="N45" s="412">
        <f t="shared" si="28"/>
        <v>7.1</v>
      </c>
      <c r="O45" s="169">
        <f t="shared" si="29"/>
        <v>271.32765586863997</v>
      </c>
    </row>
    <row r="46" spans="1:15">
      <c r="A46" s="148" t="s">
        <v>563</v>
      </c>
      <c r="B46" s="148" t="s">
        <v>330</v>
      </c>
      <c r="C46" s="148" t="s">
        <v>215</v>
      </c>
      <c r="D46" s="148" t="s">
        <v>565</v>
      </c>
      <c r="E46" s="148" t="s">
        <v>564</v>
      </c>
      <c r="F46" s="412">
        <f>('9a. Workforce'!G44*7/12)+('9a. Workforce'!J44*5/12*0.7)</f>
        <v>0.87558333333333316</v>
      </c>
      <c r="G46" s="169">
        <f>('9a. Workforce'!H44*7/12)+('9a. Workforce'!K44*5/12*0.7)</f>
        <v>31.713628333333329</v>
      </c>
      <c r="H46" s="412">
        <f>'9a. Workforce'!L44</f>
        <v>3.8</v>
      </c>
      <c r="I46" s="169">
        <f>'9a. Workforce'!M44</f>
        <v>137.636</v>
      </c>
      <c r="J46" s="412">
        <f t="shared" si="24"/>
        <v>3.8</v>
      </c>
      <c r="K46" s="169">
        <f t="shared" si="25"/>
        <v>140.66399200000001</v>
      </c>
      <c r="L46" s="412">
        <f t="shared" si="26"/>
        <v>3.8</v>
      </c>
      <c r="M46" s="169">
        <f t="shared" si="27"/>
        <v>143.75859982400002</v>
      </c>
      <c r="N46" s="412">
        <f t="shared" si="28"/>
        <v>3.8</v>
      </c>
      <c r="O46" s="169">
        <f t="shared" si="29"/>
        <v>146.92128902012803</v>
      </c>
    </row>
    <row r="47" spans="1:15">
      <c r="A47" s="148" t="s">
        <v>563</v>
      </c>
      <c r="B47" s="148" t="s">
        <v>330</v>
      </c>
      <c r="C47" s="148" t="s">
        <v>215</v>
      </c>
      <c r="D47" s="148" t="s">
        <v>566</v>
      </c>
      <c r="E47" s="148" t="s">
        <v>564</v>
      </c>
      <c r="F47" s="412">
        <f>('9a. Workforce'!G45*7/12)+('9a. Workforce'!J45*5/12*0.7)</f>
        <v>0.27649999999999997</v>
      </c>
      <c r="G47" s="169">
        <f>('9a. Workforce'!H45*7/12)+('9a. Workforce'!K45*5/12*0.7)</f>
        <v>9.5945499999999999</v>
      </c>
      <c r="H47" s="412">
        <f>'9a. Workforce'!L45</f>
        <v>1.2</v>
      </c>
      <c r="I47" s="169">
        <f>'9a. Workforce'!M45</f>
        <v>41.64</v>
      </c>
      <c r="J47" s="412">
        <f t="shared" si="24"/>
        <v>1.2</v>
      </c>
      <c r="K47" s="169">
        <f t="shared" si="25"/>
        <v>42.556080000000001</v>
      </c>
      <c r="L47" s="412">
        <f t="shared" si="26"/>
        <v>1.2</v>
      </c>
      <c r="M47" s="169">
        <f t="shared" si="27"/>
        <v>43.492313760000002</v>
      </c>
      <c r="N47" s="412">
        <f t="shared" si="28"/>
        <v>1.2</v>
      </c>
      <c r="O47" s="169">
        <f t="shared" si="29"/>
        <v>44.449144662720002</v>
      </c>
    </row>
    <row r="48" spans="1:15">
      <c r="A48" s="148" t="s">
        <v>563</v>
      </c>
      <c r="B48" s="148" t="s">
        <v>330</v>
      </c>
      <c r="C48" s="148" t="s">
        <v>215</v>
      </c>
      <c r="D48" s="148" t="s">
        <v>503</v>
      </c>
      <c r="E48" s="148" t="s">
        <v>567</v>
      </c>
      <c r="F48" s="412">
        <f>('9a. Workforce'!G46*7/12)+('9a. Workforce'!J46*5/12*0.7)</f>
        <v>4.8387500000000001</v>
      </c>
      <c r="G48" s="169">
        <f>('9a. Workforce'!H46*7/12)+('9a. Workforce'!K46*5/12*0.7)</f>
        <v>215.80825000000004</v>
      </c>
      <c r="H48" s="412">
        <f>'9a. Workforce'!L46</f>
        <v>21</v>
      </c>
      <c r="I48" s="169">
        <f>'9a. Workforce'!M46</f>
        <v>936.6</v>
      </c>
      <c r="J48" s="412">
        <f t="shared" si="24"/>
        <v>21</v>
      </c>
      <c r="K48" s="169">
        <f t="shared" si="25"/>
        <v>957.20519999999999</v>
      </c>
      <c r="L48" s="412">
        <f t="shared" si="26"/>
        <v>21</v>
      </c>
      <c r="M48" s="169">
        <f t="shared" si="27"/>
        <v>978.26371440000003</v>
      </c>
      <c r="N48" s="412">
        <f t="shared" si="28"/>
        <v>21</v>
      </c>
      <c r="O48" s="169">
        <f t="shared" si="29"/>
        <v>999.78551611680007</v>
      </c>
    </row>
    <row r="49" spans="1:15">
      <c r="A49" s="148" t="s">
        <v>563</v>
      </c>
      <c r="B49" s="148" t="s">
        <v>330</v>
      </c>
      <c r="C49" s="148" t="s">
        <v>215</v>
      </c>
      <c r="D49" s="148" t="s">
        <v>495</v>
      </c>
      <c r="E49" s="148" t="s">
        <v>567</v>
      </c>
      <c r="F49" s="412">
        <f>('9a. Workforce'!G47*7/12)+('9a. Workforce'!J47*5/12*0.7)</f>
        <v>1.1981666666666668</v>
      </c>
      <c r="G49" s="169">
        <f>('9a. Workforce'!H47*7/12)+('9a. Workforce'!K47*5/12*0.7)</f>
        <v>69.733300000000014</v>
      </c>
      <c r="H49" s="412">
        <f>'9a. Workforce'!L47</f>
        <v>5.2</v>
      </c>
      <c r="I49" s="169">
        <f>'9a. Workforce'!M47</f>
        <v>302.64000000000004</v>
      </c>
      <c r="J49" s="412">
        <f t="shared" si="24"/>
        <v>5.2</v>
      </c>
      <c r="K49" s="169">
        <f t="shared" si="25"/>
        <v>309.29808000000003</v>
      </c>
      <c r="L49" s="412">
        <f t="shared" si="26"/>
        <v>5.2</v>
      </c>
      <c r="M49" s="169">
        <f t="shared" si="27"/>
        <v>316.10263776000005</v>
      </c>
      <c r="N49" s="412">
        <f t="shared" si="28"/>
        <v>5.2</v>
      </c>
      <c r="O49" s="169">
        <f t="shared" si="29"/>
        <v>323.05689579072003</v>
      </c>
    </row>
    <row r="50" spans="1:15">
      <c r="A50" s="148" t="s">
        <v>563</v>
      </c>
      <c r="B50" s="148" t="s">
        <v>330</v>
      </c>
      <c r="C50" s="148" t="s">
        <v>215</v>
      </c>
      <c r="D50" s="148" t="s">
        <v>499</v>
      </c>
      <c r="E50" s="148" t="s">
        <v>568</v>
      </c>
      <c r="F50" s="412">
        <f>('9a. Workforce'!G48*7/12)+('9a. Workforce'!J48*5/12*0.7)</f>
        <v>0.46083333333333332</v>
      </c>
      <c r="G50" s="169">
        <f>('9a. Workforce'!H48*7/12)+('9a. Workforce'!K48*5/12*0.7)</f>
        <v>27.096999999999998</v>
      </c>
      <c r="H50" s="412">
        <f>'9a. Workforce'!L48</f>
        <v>2</v>
      </c>
      <c r="I50" s="169">
        <f>'9a. Workforce'!M48</f>
        <v>117.6</v>
      </c>
      <c r="J50" s="412">
        <f t="shared" si="24"/>
        <v>2</v>
      </c>
      <c r="K50" s="169">
        <f t="shared" si="25"/>
        <v>120.18719999999999</v>
      </c>
      <c r="L50" s="412">
        <f t="shared" si="26"/>
        <v>2</v>
      </c>
      <c r="M50" s="169">
        <f t="shared" si="27"/>
        <v>122.83131839999999</v>
      </c>
      <c r="N50" s="412">
        <f t="shared" si="28"/>
        <v>2</v>
      </c>
      <c r="O50" s="169">
        <f t="shared" si="29"/>
        <v>125.53360740479999</v>
      </c>
    </row>
    <row r="51" spans="1:15">
      <c r="A51" s="148" t="s">
        <v>563</v>
      </c>
      <c r="B51" s="148" t="s">
        <v>330</v>
      </c>
      <c r="C51" s="148" t="s">
        <v>215</v>
      </c>
      <c r="D51" s="148" t="s">
        <v>569</v>
      </c>
      <c r="E51" s="148" t="s">
        <v>570</v>
      </c>
      <c r="F51" s="412">
        <f>('9a. Workforce'!G49*7/12)+('9a. Workforce'!J49*5/12*0.7)</f>
        <v>0.27649999999999997</v>
      </c>
      <c r="G51" s="169">
        <f>('9a. Workforce'!H49*7/12)+('9a. Workforce'!K49*5/12*0.7)</f>
        <v>18.691399999999998</v>
      </c>
      <c r="H51" s="412">
        <f>'9a. Workforce'!L49</f>
        <v>1.2</v>
      </c>
      <c r="I51" s="169">
        <f>'9a. Workforce'!M49</f>
        <v>81.11999999999999</v>
      </c>
      <c r="J51" s="412">
        <f t="shared" si="24"/>
        <v>1.2</v>
      </c>
      <c r="K51" s="169">
        <f t="shared" si="25"/>
        <v>82.904639999999986</v>
      </c>
      <c r="L51" s="412">
        <f t="shared" si="26"/>
        <v>1.2</v>
      </c>
      <c r="M51" s="169">
        <f t="shared" si="27"/>
        <v>84.728542079999983</v>
      </c>
      <c r="N51" s="412">
        <f t="shared" si="28"/>
        <v>1.2</v>
      </c>
      <c r="O51" s="169">
        <f t="shared" si="29"/>
        <v>86.592570005759981</v>
      </c>
    </row>
    <row r="52" spans="1:15">
      <c r="A52" s="148" t="s">
        <v>571</v>
      </c>
      <c r="B52" s="148" t="s">
        <v>330</v>
      </c>
      <c r="C52" s="148" t="s">
        <v>215</v>
      </c>
      <c r="D52" s="148" t="s">
        <v>499</v>
      </c>
      <c r="E52" s="148" t="s">
        <v>572</v>
      </c>
      <c r="F52" s="412">
        <f>('9a. Workforce'!G50*7/12)+('9a. Workforce'!J50*5/12*0.7)</f>
        <v>0.61060416666666673</v>
      </c>
      <c r="G52" s="169">
        <f>('9a. Workforce'!H50*7/12)+('9a. Workforce'!K50*5/12*0.7)</f>
        <v>35.903525000000002</v>
      </c>
      <c r="H52" s="412">
        <f>'9a. Workforce'!L50</f>
        <v>2.65</v>
      </c>
      <c r="I52" s="169">
        <f>'9a. Workforce'!M50</f>
        <v>155.82</v>
      </c>
      <c r="J52" s="412">
        <f t="shared" si="24"/>
        <v>2.65</v>
      </c>
      <c r="K52" s="169">
        <f t="shared" si="25"/>
        <v>159.24804</v>
      </c>
      <c r="L52" s="412">
        <f t="shared" si="26"/>
        <v>2.65</v>
      </c>
      <c r="M52" s="169">
        <f t="shared" si="27"/>
        <v>162.75149688000002</v>
      </c>
      <c r="N52" s="412">
        <f t="shared" si="28"/>
        <v>2.65</v>
      </c>
      <c r="O52" s="169">
        <f t="shared" si="29"/>
        <v>166.33202981136003</v>
      </c>
    </row>
    <row r="53" spans="1:15">
      <c r="A53" s="148" t="s">
        <v>571</v>
      </c>
      <c r="B53" s="148" t="s">
        <v>330</v>
      </c>
      <c r="C53" s="148" t="s">
        <v>215</v>
      </c>
      <c r="D53" s="148" t="s">
        <v>495</v>
      </c>
      <c r="E53" s="148" t="s">
        <v>572</v>
      </c>
      <c r="F53" s="412">
        <f>('9a. Workforce'!G51*7/12)+('9a. Workforce'!J51*5/12*0.7)</f>
        <v>1.3248958333333334</v>
      </c>
      <c r="G53" s="169">
        <f>('9a. Workforce'!H51*7/12)+('9a. Workforce'!K51*5/12*0.7)</f>
        <v>78.963791666666651</v>
      </c>
      <c r="H53" s="412">
        <f>'9a. Workforce'!L51</f>
        <v>5.75</v>
      </c>
      <c r="I53" s="169">
        <f>'9a. Workforce'!M51</f>
        <v>342.7</v>
      </c>
      <c r="J53" s="412">
        <f t="shared" si="24"/>
        <v>5.75</v>
      </c>
      <c r="K53" s="169">
        <f t="shared" si="25"/>
        <v>350.23939999999999</v>
      </c>
      <c r="L53" s="412">
        <f t="shared" si="26"/>
        <v>5.75</v>
      </c>
      <c r="M53" s="169">
        <f t="shared" si="27"/>
        <v>357.94466679999999</v>
      </c>
      <c r="N53" s="412">
        <f t="shared" si="28"/>
        <v>5.75</v>
      </c>
      <c r="O53" s="169">
        <f t="shared" si="29"/>
        <v>365.81944946959999</v>
      </c>
    </row>
    <row r="54" spans="1:15">
      <c r="A54" s="148" t="s">
        <v>571</v>
      </c>
      <c r="B54" s="148" t="s">
        <v>330</v>
      </c>
      <c r="C54" s="148" t="s">
        <v>215</v>
      </c>
      <c r="D54" s="148" t="s">
        <v>503</v>
      </c>
      <c r="E54" s="148" t="s">
        <v>572</v>
      </c>
      <c r="F54" s="412">
        <f>('9a. Workforce'!G52*7/12)+('9a. Workforce'!J52*5/12*0.7)</f>
        <v>1.313375</v>
      </c>
      <c r="G54" s="169">
        <f>('9a. Workforce'!H52*7/12)+('9a. Workforce'!K52*5/12*0.7)</f>
        <v>59.495887499999995</v>
      </c>
      <c r="H54" s="412">
        <f>'9a. Workforce'!L52</f>
        <v>5.7</v>
      </c>
      <c r="I54" s="169">
        <f>'9a. Workforce'!M52</f>
        <v>258.20999999999998</v>
      </c>
      <c r="J54" s="412">
        <f t="shared" si="24"/>
        <v>5.7</v>
      </c>
      <c r="K54" s="169">
        <f t="shared" si="25"/>
        <v>263.89061999999996</v>
      </c>
      <c r="L54" s="412">
        <f t="shared" si="26"/>
        <v>5.7</v>
      </c>
      <c r="M54" s="169">
        <f t="shared" si="27"/>
        <v>269.69621363999994</v>
      </c>
      <c r="N54" s="412">
        <f t="shared" si="28"/>
        <v>5.7</v>
      </c>
      <c r="O54" s="169">
        <f t="shared" si="29"/>
        <v>275.62953034007995</v>
      </c>
    </row>
    <row r="55" spans="1:15">
      <c r="A55" s="148" t="s">
        <v>571</v>
      </c>
      <c r="B55" s="148" t="s">
        <v>330</v>
      </c>
      <c r="C55" s="148" t="s">
        <v>215</v>
      </c>
      <c r="D55" s="148" t="s">
        <v>497</v>
      </c>
      <c r="E55" s="148" t="s">
        <v>573</v>
      </c>
      <c r="F55" s="412">
        <f>('9a. Workforce'!G53*7/12)+('9a. Workforce'!J53*5/12*0.7)</f>
        <v>0.59908333333333341</v>
      </c>
      <c r="G55" s="169">
        <f>('9a. Workforce'!H53*7/12)+('9a. Workforce'!K53*5/12*0.7)</f>
        <v>22.285900000000005</v>
      </c>
      <c r="H55" s="412">
        <f>'9a. Workforce'!L53</f>
        <v>2.6</v>
      </c>
      <c r="I55" s="169">
        <f>'9a. Workforce'!M53</f>
        <v>96.720000000000013</v>
      </c>
      <c r="J55" s="412">
        <f t="shared" si="24"/>
        <v>2.6</v>
      </c>
      <c r="K55" s="169">
        <f t="shared" si="25"/>
        <v>98.847840000000019</v>
      </c>
      <c r="L55" s="412">
        <f t="shared" si="26"/>
        <v>2.6</v>
      </c>
      <c r="M55" s="169">
        <f t="shared" si="27"/>
        <v>101.02249248000003</v>
      </c>
      <c r="N55" s="412">
        <f t="shared" si="28"/>
        <v>2.6</v>
      </c>
      <c r="O55" s="169">
        <f t="shared" si="29"/>
        <v>103.24498731456002</v>
      </c>
    </row>
    <row r="56" spans="1:15">
      <c r="A56" s="148" t="s">
        <v>571</v>
      </c>
      <c r="B56" s="148" t="s">
        <v>330</v>
      </c>
      <c r="C56" s="148" t="s">
        <v>212</v>
      </c>
      <c r="D56" s="148" t="s">
        <v>520</v>
      </c>
      <c r="E56" s="148" t="s">
        <v>521</v>
      </c>
      <c r="F56" s="412">
        <f>('9a. Workforce'!G54*7/12)+('9a. Workforce'!J54*5/12*0.7)</f>
        <v>0.11520833333333333</v>
      </c>
      <c r="G56" s="169">
        <f>('9a. Workforce'!H54*7/12)+('9a. Workforce'!K54*5/12*0.7)</f>
        <v>6.7742499999999994</v>
      </c>
      <c r="H56" s="412">
        <f>'9a. Workforce'!L54</f>
        <v>0.5</v>
      </c>
      <c r="I56" s="169">
        <f>'9a. Workforce'!M54</f>
        <v>29.4</v>
      </c>
      <c r="J56" s="412">
        <f t="shared" si="24"/>
        <v>0.5</v>
      </c>
      <c r="K56" s="169">
        <f t="shared" si="25"/>
        <v>30.046799999999998</v>
      </c>
      <c r="L56" s="412">
        <f t="shared" si="26"/>
        <v>0.5</v>
      </c>
      <c r="M56" s="169">
        <f t="shared" si="27"/>
        <v>30.707829599999997</v>
      </c>
      <c r="N56" s="412">
        <f t="shared" si="28"/>
        <v>0.5</v>
      </c>
      <c r="O56" s="169">
        <f t="shared" si="29"/>
        <v>31.383401851199999</v>
      </c>
    </row>
    <row r="57" spans="1:15">
      <c r="A57" s="148" t="s">
        <v>571</v>
      </c>
      <c r="B57" s="148" t="s">
        <v>330</v>
      </c>
      <c r="C57" s="148" t="s">
        <v>216</v>
      </c>
      <c r="D57" s="148" t="s">
        <v>512</v>
      </c>
      <c r="E57" s="148" t="s">
        <v>513</v>
      </c>
      <c r="F57" s="412">
        <f>('9a. Workforce'!G55*7/12)+('9a. Workforce'!J55*5/12*0.7)</f>
        <v>5.7604166666666665E-2</v>
      </c>
      <c r="G57" s="169">
        <f>('9a. Workforce'!H55*7/12)+('9a. Workforce'!K55*5/12*0.7)</f>
        <v>3.3756041666666672</v>
      </c>
      <c r="H57" s="412">
        <f>'9a. Workforce'!L55</f>
        <v>0.25</v>
      </c>
      <c r="I57" s="169">
        <f>'9a. Workforce'!M55</f>
        <v>14.65</v>
      </c>
      <c r="J57" s="412">
        <f t="shared" si="24"/>
        <v>0.25</v>
      </c>
      <c r="K57" s="169">
        <f t="shared" si="25"/>
        <v>14.972300000000001</v>
      </c>
      <c r="L57" s="412">
        <f t="shared" si="26"/>
        <v>0.25</v>
      </c>
      <c r="M57" s="169">
        <f t="shared" si="27"/>
        <v>15.301690600000001</v>
      </c>
      <c r="N57" s="412">
        <f t="shared" si="28"/>
        <v>0.25</v>
      </c>
      <c r="O57" s="169">
        <f t="shared" si="29"/>
        <v>15.6383277932</v>
      </c>
    </row>
    <row r="58" spans="1:15">
      <c r="A58" s="148" t="s">
        <v>563</v>
      </c>
      <c r="B58" s="148" t="s">
        <v>330</v>
      </c>
      <c r="C58" s="148" t="s">
        <v>215</v>
      </c>
      <c r="D58" s="148" t="s">
        <v>497</v>
      </c>
      <c r="E58" s="148" t="s">
        <v>564</v>
      </c>
      <c r="F58" s="412">
        <f>('9a. Workforce'!G56*7/12)+('9a. Workforce'!J56*5/12*0.7)</f>
        <v>7.9204412181241333</v>
      </c>
      <c r="G58" s="169">
        <f>('9a. Workforce'!H56*7/12)+('9a. Workforce'!K56*5/12*0.7)</f>
        <v>283.55179560884392</v>
      </c>
      <c r="H58" s="412">
        <f>'9a. Workforce'!L56</f>
        <v>10.475694255873272</v>
      </c>
      <c r="I58" s="169">
        <f>'9a. Workforce'!M56</f>
        <v>375.02985436026307</v>
      </c>
      <c r="J58" s="412">
        <f t="shared" si="24"/>
        <v>10.475694255873272</v>
      </c>
      <c r="K58" s="169">
        <f t="shared" si="25"/>
        <v>383.28051115618888</v>
      </c>
      <c r="L58" s="412">
        <f t="shared" si="26"/>
        <v>10.475694255873272</v>
      </c>
      <c r="M58" s="169">
        <f t="shared" si="27"/>
        <v>391.71268240162505</v>
      </c>
      <c r="N58" s="412">
        <f t="shared" si="28"/>
        <v>10.475694255873272</v>
      </c>
      <c r="O58" s="169">
        <f t="shared" si="29"/>
        <v>400.33036141446081</v>
      </c>
    </row>
    <row r="59" spans="1:15">
      <c r="A59" s="148" t="s">
        <v>563</v>
      </c>
      <c r="B59" s="148" t="s">
        <v>330</v>
      </c>
      <c r="C59" s="148" t="s">
        <v>215</v>
      </c>
      <c r="D59" s="148" t="s">
        <v>566</v>
      </c>
      <c r="E59" s="148" t="s">
        <v>564</v>
      </c>
      <c r="F59" s="412">
        <f>('9a. Workforce'!G57*7/12)+('9a. Workforce'!J57*5/12*0.7)</f>
        <v>0</v>
      </c>
      <c r="G59" s="169">
        <f>('9a. Workforce'!H57*7/12)+('9a. Workforce'!K57*5/12*0.7)</f>
        <v>0</v>
      </c>
      <c r="H59" s="412">
        <f>'9a. Workforce'!L57</f>
        <v>0</v>
      </c>
      <c r="I59" s="169">
        <f>'9a. Workforce'!M57</f>
        <v>0</v>
      </c>
      <c r="J59" s="412">
        <f t="shared" si="24"/>
        <v>0</v>
      </c>
      <c r="K59" s="169">
        <f t="shared" si="25"/>
        <v>0</v>
      </c>
      <c r="L59" s="412">
        <f t="shared" si="26"/>
        <v>0</v>
      </c>
      <c r="M59" s="169">
        <f t="shared" si="27"/>
        <v>0</v>
      </c>
      <c r="N59" s="412">
        <f t="shared" si="28"/>
        <v>0</v>
      </c>
      <c r="O59" s="169">
        <f t="shared" si="29"/>
        <v>0</v>
      </c>
    </row>
    <row r="60" spans="1:15">
      <c r="A60" s="148" t="s">
        <v>563</v>
      </c>
      <c r="B60" s="148" t="s">
        <v>330</v>
      </c>
      <c r="C60" s="148" t="s">
        <v>215</v>
      </c>
      <c r="D60" s="148" t="s">
        <v>503</v>
      </c>
      <c r="E60" s="148" t="s">
        <v>567</v>
      </c>
      <c r="F60" s="412">
        <f>('9a. Workforce'!G58*7/12)+('9a. Workforce'!J58*5/12*0.7)</f>
        <v>11.714906387634359</v>
      </c>
      <c r="G60" s="169">
        <f>('9a. Workforce'!H58*7/12)+('9a. Workforce'!K58*5/12*0.7)</f>
        <v>522.48482488849243</v>
      </c>
      <c r="H60" s="412">
        <f>'9a. Workforce'!L58</f>
        <v>21.171383960800107</v>
      </c>
      <c r="I60" s="169">
        <f>'9a. Workforce'!M58</f>
        <v>944.24372465168483</v>
      </c>
      <c r="J60" s="412">
        <f t="shared" si="24"/>
        <v>21.171383960800107</v>
      </c>
      <c r="K60" s="169">
        <f t="shared" si="25"/>
        <v>965.01708659402186</v>
      </c>
      <c r="L60" s="412">
        <f t="shared" si="26"/>
        <v>21.171383960800107</v>
      </c>
      <c r="M60" s="169">
        <f t="shared" si="27"/>
        <v>986.24746249909037</v>
      </c>
      <c r="N60" s="412">
        <f t="shared" si="28"/>
        <v>21.171383960800107</v>
      </c>
      <c r="O60" s="169">
        <f t="shared" si="29"/>
        <v>1007.9449066740704</v>
      </c>
    </row>
    <row r="61" spans="1:15">
      <c r="A61" s="148" t="s">
        <v>563</v>
      </c>
      <c r="B61" s="148" t="s">
        <v>330</v>
      </c>
      <c r="C61" s="148" t="s">
        <v>215</v>
      </c>
      <c r="D61" s="148" t="s">
        <v>495</v>
      </c>
      <c r="E61" s="148" t="s">
        <v>567</v>
      </c>
      <c r="F61" s="412">
        <f>('9a. Workforce'!G59*7/12)+('9a. Workforce'!J59*5/12*0.7)</f>
        <v>4.2122206090620669</v>
      </c>
      <c r="G61" s="169">
        <f>('9a. Workforce'!H59*7/12)+('9a. Workforce'!K59*5/12*0.7)</f>
        <v>245.15123944741234</v>
      </c>
      <c r="H61" s="412">
        <f>'9a. Workforce'!L59</f>
        <v>5.2378471279366359</v>
      </c>
      <c r="I61" s="169">
        <f>'9a. Workforce'!M59</f>
        <v>304.84270284591224</v>
      </c>
      <c r="J61" s="412">
        <f t="shared" si="24"/>
        <v>5.2378471279366359</v>
      </c>
      <c r="K61" s="169">
        <f t="shared" si="25"/>
        <v>311.54924230852231</v>
      </c>
      <c r="L61" s="412">
        <f t="shared" si="26"/>
        <v>5.2378471279366359</v>
      </c>
      <c r="M61" s="169">
        <f t="shared" si="27"/>
        <v>318.4033256393098</v>
      </c>
      <c r="N61" s="412">
        <f t="shared" si="28"/>
        <v>5.2378471279366359</v>
      </c>
      <c r="O61" s="169">
        <f t="shared" si="29"/>
        <v>325.4081988033746</v>
      </c>
    </row>
    <row r="62" spans="1:15">
      <c r="A62" s="148" t="s">
        <v>563</v>
      </c>
      <c r="B62" s="148" t="s">
        <v>330</v>
      </c>
      <c r="C62" s="148" t="s">
        <v>215</v>
      </c>
      <c r="D62" s="148" t="s">
        <v>499</v>
      </c>
      <c r="E62" s="148" t="s">
        <v>568</v>
      </c>
      <c r="F62" s="412">
        <f>('9a. Workforce'!G60*7/12)+('9a. Workforce'!J60*5/12*0.7)</f>
        <v>0.81374999999999997</v>
      </c>
      <c r="G62" s="169">
        <f>('9a. Workforce'!H60*7/12)+('9a. Workforce'!K60*5/12*0.7)</f>
        <v>47.848499999999994</v>
      </c>
      <c r="H62" s="412">
        <f>'9a. Workforce'!L60</f>
        <v>1</v>
      </c>
      <c r="I62" s="169">
        <f>'9a. Workforce'!M60</f>
        <v>58.8</v>
      </c>
      <c r="J62" s="412">
        <f t="shared" si="24"/>
        <v>1</v>
      </c>
      <c r="K62" s="169">
        <f t="shared" si="25"/>
        <v>60.093599999999995</v>
      </c>
      <c r="L62" s="412">
        <f t="shared" si="26"/>
        <v>1</v>
      </c>
      <c r="M62" s="169">
        <f t="shared" si="27"/>
        <v>61.415659199999993</v>
      </c>
      <c r="N62" s="412">
        <f t="shared" si="28"/>
        <v>1</v>
      </c>
      <c r="O62" s="169">
        <f t="shared" si="29"/>
        <v>62.766803702399997</v>
      </c>
    </row>
    <row r="63" spans="1:15">
      <c r="A63" s="148" t="s">
        <v>563</v>
      </c>
      <c r="B63" s="148" t="s">
        <v>330</v>
      </c>
      <c r="C63" s="148" t="s">
        <v>215</v>
      </c>
      <c r="D63" s="148" t="s">
        <v>569</v>
      </c>
      <c r="E63" s="148" t="s">
        <v>570</v>
      </c>
      <c r="F63" s="412">
        <f>('9a. Workforce'!G61*7/12)+('9a. Workforce'!J61*5/12*0.7)</f>
        <v>0.40687499999999999</v>
      </c>
      <c r="G63" s="169">
        <f>('9a. Workforce'!H61*7/12)+('9a. Workforce'!K61*5/12*0.7)</f>
        <v>27.504749999999998</v>
      </c>
      <c r="H63" s="412">
        <f>'9a. Workforce'!L61</f>
        <v>0.5</v>
      </c>
      <c r="I63" s="169">
        <f>'9a. Workforce'!M61</f>
        <v>33.799999999999997</v>
      </c>
      <c r="J63" s="412">
        <f t="shared" si="24"/>
        <v>0.5</v>
      </c>
      <c r="K63" s="169">
        <f t="shared" si="25"/>
        <v>34.543599999999998</v>
      </c>
      <c r="L63" s="412">
        <f t="shared" si="26"/>
        <v>0.5</v>
      </c>
      <c r="M63" s="169">
        <f t="shared" si="27"/>
        <v>35.303559199999995</v>
      </c>
      <c r="N63" s="412">
        <f t="shared" si="28"/>
        <v>0.5</v>
      </c>
      <c r="O63" s="169">
        <f t="shared" si="29"/>
        <v>36.080237502399996</v>
      </c>
    </row>
    <row r="64" spans="1:15">
      <c r="A64" s="148" t="s">
        <v>574</v>
      </c>
      <c r="B64" s="148" t="s">
        <v>330</v>
      </c>
      <c r="C64" s="148" t="s">
        <v>215</v>
      </c>
      <c r="D64" s="148" t="s">
        <v>497</v>
      </c>
      <c r="E64" s="148" t="s">
        <v>564</v>
      </c>
      <c r="F64" s="412">
        <f>('9a. Workforce'!G62*7/12)+('9a. Workforce'!J62*5/12)</f>
        <v>6.7343999999999991</v>
      </c>
      <c r="G64" s="169">
        <f>('9a. Workforce'!H62*7/12)+('9a. Workforce'!K62*5/12)</f>
        <v>210.78671999999995</v>
      </c>
      <c r="H64" s="412">
        <f>'9a. Workforce'!L62</f>
        <v>6.7343999999999991</v>
      </c>
      <c r="I64" s="169">
        <f>'9a. Workforce'!M62</f>
        <v>210.78671999999997</v>
      </c>
      <c r="J64" s="412">
        <f t="shared" ref="J64:J67" si="30">H64*$K$1</f>
        <v>6.8421503999999995</v>
      </c>
      <c r="K64" s="169">
        <f t="shared" ref="K64:K67" si="31">I64*$K$3</f>
        <v>218.79661535999998</v>
      </c>
      <c r="L64" s="412">
        <f t="shared" ref="L64:L67" si="32">J64*$M$1</f>
        <v>6.9653091071999995</v>
      </c>
      <c r="M64" s="169">
        <f t="shared" ref="M64:M67" si="33">K64*$M$3</f>
        <v>227.54847997439998</v>
      </c>
      <c r="N64" s="415">
        <f t="shared" ref="N64:N67" si="34">L64*$O$1</f>
        <v>7.083719362022399</v>
      </c>
      <c r="O64" s="416">
        <f t="shared" ref="O64:O67" si="35">M64*$O$3</f>
        <v>236.42287069340156</v>
      </c>
    </row>
    <row r="65" spans="1:15">
      <c r="A65" s="148" t="s">
        <v>574</v>
      </c>
      <c r="B65" s="148" t="s">
        <v>330</v>
      </c>
      <c r="C65" s="148" t="s">
        <v>215</v>
      </c>
      <c r="D65" s="148" t="s">
        <v>503</v>
      </c>
      <c r="E65" s="148" t="s">
        <v>567</v>
      </c>
      <c r="F65" s="412">
        <f>('9a. Workforce'!G63*7/12)+('9a. Workforce'!J63*5/12)</f>
        <v>8.9792000000000005</v>
      </c>
      <c r="G65" s="169">
        <f>('9a. Workforce'!H63*7/12)+('9a. Workforce'!K63*5/12)</f>
        <v>378.9222400000001</v>
      </c>
      <c r="H65" s="412">
        <f>'9a. Workforce'!L63</f>
        <v>8.9792000000000005</v>
      </c>
      <c r="I65" s="169">
        <f>'9a. Workforce'!M63</f>
        <v>378.92224000000004</v>
      </c>
      <c r="J65" s="412">
        <f t="shared" si="30"/>
        <v>9.1228672</v>
      </c>
      <c r="K65" s="169">
        <f t="shared" si="31"/>
        <v>393.32128512000008</v>
      </c>
      <c r="L65" s="412">
        <f t="shared" si="32"/>
        <v>9.2870788096000005</v>
      </c>
      <c r="M65" s="169">
        <f t="shared" si="33"/>
        <v>409.05413652480013</v>
      </c>
      <c r="N65" s="415">
        <f t="shared" si="34"/>
        <v>9.4449591493631999</v>
      </c>
      <c r="O65" s="416">
        <f t="shared" si="35"/>
        <v>425.00724784926729</v>
      </c>
    </row>
    <row r="66" spans="1:15">
      <c r="A66" s="148" t="s">
        <v>574</v>
      </c>
      <c r="B66" s="148" t="s">
        <v>330</v>
      </c>
      <c r="C66" s="148" t="s">
        <v>215</v>
      </c>
      <c r="D66" s="148" t="s">
        <v>495</v>
      </c>
      <c r="E66" s="148" t="s">
        <v>567</v>
      </c>
      <c r="F66" s="412">
        <f>('9a. Workforce'!G64*7/12)+('9a. Workforce'!J64*5/12)</f>
        <v>6.7343999999999991</v>
      </c>
      <c r="G66" s="169">
        <f>('9a. Workforce'!H64*7/12)+('9a. Workforce'!K64*5/12)</f>
        <v>325.94495999999992</v>
      </c>
      <c r="H66" s="412">
        <f>'9a. Workforce'!L64</f>
        <v>6.7343999999999991</v>
      </c>
      <c r="I66" s="169">
        <f>'9a. Workforce'!M64</f>
        <v>325.94495999999992</v>
      </c>
      <c r="J66" s="412">
        <f t="shared" si="30"/>
        <v>6.8421503999999995</v>
      </c>
      <c r="K66" s="169">
        <f t="shared" si="31"/>
        <v>338.33086847999994</v>
      </c>
      <c r="L66" s="412">
        <f t="shared" si="32"/>
        <v>6.9653091071999995</v>
      </c>
      <c r="M66" s="169">
        <f t="shared" si="33"/>
        <v>351.86410321919993</v>
      </c>
      <c r="N66" s="415">
        <f t="shared" si="34"/>
        <v>7.083719362022399</v>
      </c>
      <c r="O66" s="416">
        <f t="shared" si="35"/>
        <v>365.58680324474869</v>
      </c>
    </row>
    <row r="67" spans="1:15">
      <c r="A67" s="148" t="s">
        <v>574</v>
      </c>
      <c r="B67" s="148" t="s">
        <v>330</v>
      </c>
      <c r="C67" s="148" t="s">
        <v>215</v>
      </c>
      <c r="D67" s="148" t="s">
        <v>499</v>
      </c>
      <c r="E67" s="148" t="s">
        <v>568</v>
      </c>
      <c r="F67" s="412">
        <f>('9a. Workforce'!G65*7/12)+('9a. Workforce'!J65*5/12)</f>
        <v>1</v>
      </c>
      <c r="G67" s="169">
        <f>('9a. Workforce'!H65*7/12)+('9a. Workforce'!K65*5/12)</f>
        <v>58.5</v>
      </c>
      <c r="H67" s="412">
        <f>'9a. Workforce'!L65</f>
        <v>1</v>
      </c>
      <c r="I67" s="169">
        <f>'9a. Workforce'!M65</f>
        <v>58.5</v>
      </c>
      <c r="J67" s="412">
        <f t="shared" si="30"/>
        <v>1.016</v>
      </c>
      <c r="K67" s="169">
        <f t="shared" si="31"/>
        <v>60.722999999999999</v>
      </c>
      <c r="L67" s="412">
        <f t="shared" si="32"/>
        <v>1.0342880000000001</v>
      </c>
      <c r="M67" s="169">
        <f t="shared" si="33"/>
        <v>63.151920000000004</v>
      </c>
      <c r="N67" s="415">
        <f t="shared" si="34"/>
        <v>1.0518708960000001</v>
      </c>
      <c r="O67" s="416">
        <f t="shared" si="35"/>
        <v>65.614844879999993</v>
      </c>
    </row>
    <row r="68" spans="1:15">
      <c r="A68" s="148" t="s">
        <v>575</v>
      </c>
      <c r="B68" s="148" t="s">
        <v>330</v>
      </c>
      <c r="C68" s="148" t="s">
        <v>215</v>
      </c>
      <c r="D68" s="148" t="s">
        <v>499</v>
      </c>
      <c r="E68" s="148" t="s">
        <v>500</v>
      </c>
      <c r="F68" s="412">
        <f>('9a. Workforce'!G66*7/12)+('9a. Workforce'!J66*5/12)</f>
        <v>1</v>
      </c>
      <c r="G68" s="169">
        <f>('9a. Workforce'!H66*7/12)+('9a. Workforce'!K66*5/12)</f>
        <v>58.8</v>
      </c>
      <c r="H68" s="412">
        <f>'9a. Workforce'!L66</f>
        <v>2</v>
      </c>
      <c r="I68" s="169">
        <f>'9a. Workforce'!M66</f>
        <v>117.6</v>
      </c>
      <c r="J68" s="412">
        <f t="shared" ref="J68:J90" si="36">H68</f>
        <v>2</v>
      </c>
      <c r="K68" s="169">
        <f t="shared" ref="K68:K90" si="37">I68*$K$2</f>
        <v>120.18719999999999</v>
      </c>
      <c r="L68" s="412">
        <f t="shared" ref="L68:L90" si="38">J68</f>
        <v>2</v>
      </c>
      <c r="M68" s="169">
        <f t="shared" ref="M68:M90" si="39">K68*$M$2</f>
        <v>122.83131839999999</v>
      </c>
      <c r="N68" s="412">
        <f t="shared" ref="N68:N90" si="40">L68</f>
        <v>2</v>
      </c>
      <c r="O68" s="169">
        <f t="shared" ref="O68:O90" si="41">M68*$O$2</f>
        <v>125.53360740479999</v>
      </c>
    </row>
    <row r="69" spans="1:15">
      <c r="A69" s="148" t="s">
        <v>575</v>
      </c>
      <c r="B69" s="148" t="s">
        <v>330</v>
      </c>
      <c r="C69" s="148" t="s">
        <v>115</v>
      </c>
      <c r="D69" s="148" t="s">
        <v>115</v>
      </c>
      <c r="E69" s="148" t="s">
        <v>610</v>
      </c>
      <c r="F69" s="412">
        <f>('9a. Workforce'!G67*7/12)+('9a. Workforce'!J67*5/12)</f>
        <v>5.8333333333333341E-2</v>
      </c>
      <c r="G69" s="169">
        <f>(('9a. Workforce'!H67*7/12)+('9a. Workforce'!K67*5/12))*0.971</f>
        <v>7.3407599999999995</v>
      </c>
      <c r="H69" s="412">
        <f>'9a. Workforce'!L67</f>
        <v>0</v>
      </c>
      <c r="I69" s="169">
        <f>'9a. Workforce'!M67</f>
        <v>0</v>
      </c>
      <c r="J69" s="412">
        <f t="shared" si="36"/>
        <v>0</v>
      </c>
      <c r="K69" s="169">
        <f t="shared" si="37"/>
        <v>0</v>
      </c>
      <c r="L69" s="412">
        <f t="shared" si="38"/>
        <v>0</v>
      </c>
      <c r="M69" s="169">
        <f t="shared" si="39"/>
        <v>0</v>
      </c>
      <c r="N69" s="412">
        <f t="shared" si="40"/>
        <v>0</v>
      </c>
      <c r="O69" s="169">
        <f t="shared" si="41"/>
        <v>0</v>
      </c>
    </row>
    <row r="70" spans="1:15">
      <c r="A70" s="148" t="s">
        <v>575</v>
      </c>
      <c r="B70" s="148" t="s">
        <v>330</v>
      </c>
      <c r="C70" s="148" t="s">
        <v>213</v>
      </c>
      <c r="D70" s="148" t="s">
        <v>611</v>
      </c>
      <c r="E70" s="148" t="s">
        <v>612</v>
      </c>
      <c r="F70" s="412">
        <f>('9a. Workforce'!G68*7/12)+('9a. Workforce'!J68*5/12)</f>
        <v>0.17500000000000002</v>
      </c>
      <c r="G70" s="169">
        <f>('9a. Workforce'!H68*7/12)+('9a. Workforce'!K68*5/12)</f>
        <v>11.829999999999998</v>
      </c>
      <c r="H70" s="412">
        <f>'9a. Workforce'!L68</f>
        <v>0</v>
      </c>
      <c r="I70" s="169">
        <f>'9a. Workforce'!M68</f>
        <v>0</v>
      </c>
      <c r="J70" s="412">
        <f t="shared" si="36"/>
        <v>0</v>
      </c>
      <c r="K70" s="169">
        <f t="shared" si="37"/>
        <v>0</v>
      </c>
      <c r="L70" s="412">
        <f t="shared" si="38"/>
        <v>0</v>
      </c>
      <c r="M70" s="169">
        <f t="shared" si="39"/>
        <v>0</v>
      </c>
      <c r="N70" s="412">
        <f t="shared" si="40"/>
        <v>0</v>
      </c>
      <c r="O70" s="169">
        <f t="shared" si="41"/>
        <v>0</v>
      </c>
    </row>
    <row r="71" spans="1:15">
      <c r="A71" s="148" t="s">
        <v>575</v>
      </c>
      <c r="B71" s="148" t="s">
        <v>330</v>
      </c>
      <c r="C71" s="148" t="s">
        <v>213</v>
      </c>
      <c r="D71" s="148" t="s">
        <v>576</v>
      </c>
      <c r="E71" s="148" t="s">
        <v>577</v>
      </c>
      <c r="F71" s="412">
        <f>('9a. Workforce'!G69*7/12)+('9a. Workforce'!J69*5/12)</f>
        <v>0.70833333333333337</v>
      </c>
      <c r="G71" s="169">
        <f>('9a. Workforce'!H69*7/12)+('9a. Workforce'!K69*5/12)</f>
        <v>34.283333333333331</v>
      </c>
      <c r="H71" s="412">
        <f>'9a. Workforce'!L69</f>
        <v>1</v>
      </c>
      <c r="I71" s="169">
        <f>'9a. Workforce'!M69</f>
        <v>48.4</v>
      </c>
      <c r="J71" s="412">
        <f t="shared" si="36"/>
        <v>1</v>
      </c>
      <c r="K71" s="169">
        <f t="shared" si="37"/>
        <v>49.464799999999997</v>
      </c>
      <c r="L71" s="412">
        <f t="shared" si="38"/>
        <v>1</v>
      </c>
      <c r="M71" s="169">
        <f t="shared" si="39"/>
        <v>50.553025599999998</v>
      </c>
      <c r="N71" s="412">
        <f t="shared" si="40"/>
        <v>1</v>
      </c>
      <c r="O71" s="169">
        <f t="shared" si="41"/>
        <v>51.665192163199997</v>
      </c>
    </row>
    <row r="72" spans="1:15">
      <c r="A72" s="148" t="s">
        <v>575</v>
      </c>
      <c r="B72" s="148" t="s">
        <v>330</v>
      </c>
      <c r="C72" s="148" t="s">
        <v>211</v>
      </c>
      <c r="D72" s="148" t="s">
        <v>579</v>
      </c>
      <c r="E72" s="148" t="s">
        <v>578</v>
      </c>
      <c r="F72" s="412">
        <f>('9a. Workforce'!G70*7/12)+('9a. Workforce'!J70*5/12)</f>
        <v>5.45275</v>
      </c>
      <c r="G72" s="169">
        <f>('9a. Workforce'!H70*7/12)+('9a. Workforce'!K70*5/12)</f>
        <v>189.21042500000004</v>
      </c>
      <c r="H72" s="412">
        <f>'9a. Workforce'!L70</f>
        <v>9.02</v>
      </c>
      <c r="I72" s="169">
        <f>'9a. Workforce'!M70</f>
        <v>312.99400000000003</v>
      </c>
      <c r="J72" s="412">
        <f t="shared" si="36"/>
        <v>9.02</v>
      </c>
      <c r="K72" s="169">
        <f t="shared" si="37"/>
        <v>319.87986800000004</v>
      </c>
      <c r="L72" s="412">
        <f t="shared" si="38"/>
        <v>9.02</v>
      </c>
      <c r="M72" s="169">
        <f t="shared" si="39"/>
        <v>326.91722509600004</v>
      </c>
      <c r="N72" s="412">
        <f t="shared" si="40"/>
        <v>9.02</v>
      </c>
      <c r="O72" s="169">
        <f t="shared" si="41"/>
        <v>334.10940404811203</v>
      </c>
    </row>
    <row r="73" spans="1:15">
      <c r="A73" s="148" t="s">
        <v>575</v>
      </c>
      <c r="B73" s="148" t="s">
        <v>330</v>
      </c>
      <c r="C73" s="148" t="s">
        <v>211</v>
      </c>
      <c r="D73" s="148" t="s">
        <v>579</v>
      </c>
      <c r="E73" s="148" t="s">
        <v>580</v>
      </c>
      <c r="F73" s="412">
        <f>('9a. Workforce'!G71*7/12)+('9a. Workforce'!J71*5/12)</f>
        <v>0.59715000000000007</v>
      </c>
      <c r="G73" s="169">
        <f>('9a. Workforce'!H71*7/12)+('9a. Workforce'!K71*5/12)</f>
        <v>20.721105000000001</v>
      </c>
      <c r="H73" s="412">
        <f>'9a. Workforce'!L71</f>
        <v>1.052</v>
      </c>
      <c r="I73" s="169">
        <f>'9a. Workforce'!M71</f>
        <v>36.504400000000004</v>
      </c>
      <c r="J73" s="412">
        <f t="shared" si="36"/>
        <v>1.052</v>
      </c>
      <c r="K73" s="169">
        <f t="shared" si="37"/>
        <v>37.307496800000003</v>
      </c>
      <c r="L73" s="412">
        <f t="shared" si="38"/>
        <v>1.052</v>
      </c>
      <c r="M73" s="169">
        <f t="shared" si="39"/>
        <v>38.128261729600005</v>
      </c>
      <c r="N73" s="412">
        <f t="shared" si="40"/>
        <v>1.052</v>
      </c>
      <c r="O73" s="169">
        <f t="shared" si="41"/>
        <v>38.967083487651209</v>
      </c>
    </row>
    <row r="74" spans="1:15">
      <c r="A74" s="148" t="s">
        <v>575</v>
      </c>
      <c r="B74" s="148" t="s">
        <v>330</v>
      </c>
      <c r="C74" s="148" t="s">
        <v>211</v>
      </c>
      <c r="D74" s="148" t="s">
        <v>581</v>
      </c>
      <c r="E74" s="148" t="s">
        <v>582</v>
      </c>
      <c r="F74" s="412">
        <f>('9a. Workforce'!G72*7/12)+('9a. Workforce'!J72*5/12)</f>
        <v>0.81751041666666668</v>
      </c>
      <c r="G74" s="169">
        <f>('9a. Workforce'!H72*7/12)+('9a. Workforce'!K72*5/12)</f>
        <v>31.637653125</v>
      </c>
      <c r="H74" s="412">
        <f>'9a. Workforce'!L72</f>
        <v>1.2675000000000001</v>
      </c>
      <c r="I74" s="169">
        <f>'9a. Workforce'!M72</f>
        <v>49.052250000000008</v>
      </c>
      <c r="J74" s="412">
        <f t="shared" si="36"/>
        <v>1.2675000000000001</v>
      </c>
      <c r="K74" s="169">
        <f t="shared" si="37"/>
        <v>50.131399500000008</v>
      </c>
      <c r="L74" s="412">
        <f t="shared" si="38"/>
        <v>1.2675000000000001</v>
      </c>
      <c r="M74" s="169">
        <f t="shared" si="39"/>
        <v>51.234290289000008</v>
      </c>
      <c r="N74" s="412">
        <f t="shared" si="40"/>
        <v>1.2675000000000001</v>
      </c>
      <c r="O74" s="169">
        <f t="shared" si="41"/>
        <v>52.361444675358008</v>
      </c>
    </row>
    <row r="75" spans="1:15">
      <c r="A75" s="148" t="s">
        <v>575</v>
      </c>
      <c r="B75" s="148" t="s">
        <v>330</v>
      </c>
      <c r="C75" s="148" t="s">
        <v>215</v>
      </c>
      <c r="D75" s="148" t="s">
        <v>607</v>
      </c>
      <c r="E75" s="148" t="s">
        <v>583</v>
      </c>
      <c r="F75" s="412">
        <f>('9a. Workforce'!G73*7/12)+('9a. Workforce'!J73*5/12)</f>
        <v>0.30000000000000004</v>
      </c>
      <c r="G75" s="169">
        <f>('9a. Workforce'!H73*7/12)+('9a. Workforce'!K73*5/12)</f>
        <v>32.22</v>
      </c>
      <c r="H75" s="412">
        <f>'9a. Workforce'!L73</f>
        <v>0.3</v>
      </c>
      <c r="I75" s="169">
        <f>'9a. Workforce'!M73</f>
        <v>32.22</v>
      </c>
      <c r="J75" s="412">
        <f t="shared" si="36"/>
        <v>0.3</v>
      </c>
      <c r="K75" s="169">
        <f t="shared" si="37"/>
        <v>32.928840000000001</v>
      </c>
      <c r="L75" s="412">
        <f t="shared" si="38"/>
        <v>0.3</v>
      </c>
      <c r="M75" s="169">
        <f t="shared" si="39"/>
        <v>33.65327448</v>
      </c>
      <c r="N75" s="412">
        <f t="shared" si="40"/>
        <v>0.3</v>
      </c>
      <c r="O75" s="169">
        <f t="shared" si="41"/>
        <v>34.393646518560004</v>
      </c>
    </row>
    <row r="76" spans="1:15">
      <c r="A76" s="148" t="s">
        <v>575</v>
      </c>
      <c r="B76" s="148" t="s">
        <v>330</v>
      </c>
      <c r="C76" s="148" t="s">
        <v>215</v>
      </c>
      <c r="D76" s="148" t="s">
        <v>569</v>
      </c>
      <c r="E76" s="148" t="s">
        <v>584</v>
      </c>
      <c r="F76" s="412">
        <f>('9a. Workforce'!G74*7/12)+('9a. Workforce'!J74*5/12)</f>
        <v>0.4</v>
      </c>
      <c r="G76" s="169">
        <f>('9a. Workforce'!H74*7/12)+('9a. Workforce'!K74*5/12)</f>
        <v>23.44</v>
      </c>
      <c r="H76" s="412">
        <f>'9a. Workforce'!L74</f>
        <v>0.4</v>
      </c>
      <c r="I76" s="169">
        <f>'9a. Workforce'!M74</f>
        <v>23.44</v>
      </c>
      <c r="J76" s="412">
        <f t="shared" si="36"/>
        <v>0.4</v>
      </c>
      <c r="K76" s="169">
        <f t="shared" si="37"/>
        <v>23.955680000000001</v>
      </c>
      <c r="L76" s="412">
        <f t="shared" si="38"/>
        <v>0.4</v>
      </c>
      <c r="M76" s="169">
        <f t="shared" si="39"/>
        <v>24.482704960000003</v>
      </c>
      <c r="N76" s="412">
        <f t="shared" si="40"/>
        <v>0.4</v>
      </c>
      <c r="O76" s="169">
        <f t="shared" si="41"/>
        <v>25.021324469120003</v>
      </c>
    </row>
    <row r="77" spans="1:15">
      <c r="A77" s="148" t="s">
        <v>575</v>
      </c>
      <c r="B77" s="148" t="s">
        <v>330</v>
      </c>
      <c r="C77" s="148" t="s">
        <v>215</v>
      </c>
      <c r="D77" s="148" t="s">
        <v>569</v>
      </c>
      <c r="E77" s="148" t="s">
        <v>585</v>
      </c>
      <c r="F77" s="412">
        <f>('9a. Workforce'!G75*7/12)+('9a. Workforce'!J75*5/12)</f>
        <v>0.15000000000000002</v>
      </c>
      <c r="G77" s="169">
        <f>('9a. Workforce'!H75*7/12)+('9a. Workforce'!K75*5/12)</f>
        <v>8.7899999999999991</v>
      </c>
      <c r="H77" s="412">
        <f>'9a. Workforce'!L75</f>
        <v>0.15</v>
      </c>
      <c r="I77" s="169">
        <f>'9a. Workforce'!M75</f>
        <v>8.7899999999999991</v>
      </c>
      <c r="J77" s="412">
        <f t="shared" si="36"/>
        <v>0.15</v>
      </c>
      <c r="K77" s="169">
        <f t="shared" si="37"/>
        <v>8.9833799999999986</v>
      </c>
      <c r="L77" s="412">
        <f t="shared" si="38"/>
        <v>0.15</v>
      </c>
      <c r="M77" s="169">
        <f t="shared" si="39"/>
        <v>9.1810143599999989</v>
      </c>
      <c r="N77" s="412">
        <f t="shared" si="40"/>
        <v>0.15</v>
      </c>
      <c r="O77" s="169">
        <f t="shared" si="41"/>
        <v>9.3829966759199994</v>
      </c>
    </row>
    <row r="78" spans="1:15">
      <c r="A78" s="148" t="s">
        <v>575</v>
      </c>
      <c r="B78" s="148" t="s">
        <v>330</v>
      </c>
      <c r="C78" s="148" t="s">
        <v>215</v>
      </c>
      <c r="D78" s="148" t="s">
        <v>569</v>
      </c>
      <c r="E78" s="148" t="s">
        <v>586</v>
      </c>
      <c r="F78" s="412">
        <f>('9a. Workforce'!G76*7/12)+('9a. Workforce'!J76*5/12)</f>
        <v>1</v>
      </c>
      <c r="G78" s="169">
        <f>('9a. Workforce'!H76*7/12)+('9a. Workforce'!K76*5/12)</f>
        <v>58.599999999999994</v>
      </c>
      <c r="H78" s="412">
        <f>'9a. Workforce'!L76</f>
        <v>1</v>
      </c>
      <c r="I78" s="169">
        <f>'9a. Workforce'!M76</f>
        <v>58.6</v>
      </c>
      <c r="J78" s="412">
        <f t="shared" si="36"/>
        <v>1</v>
      </c>
      <c r="K78" s="169">
        <f t="shared" si="37"/>
        <v>59.889200000000002</v>
      </c>
      <c r="L78" s="412">
        <f t="shared" si="38"/>
        <v>1</v>
      </c>
      <c r="M78" s="169">
        <f t="shared" si="39"/>
        <v>61.206762400000002</v>
      </c>
      <c r="N78" s="412">
        <f t="shared" si="40"/>
        <v>1</v>
      </c>
      <c r="O78" s="169">
        <f t="shared" si="41"/>
        <v>62.553311172800001</v>
      </c>
    </row>
    <row r="79" spans="1:15">
      <c r="A79" s="148" t="s">
        <v>575</v>
      </c>
      <c r="B79" s="148" t="s">
        <v>330</v>
      </c>
      <c r="C79" s="148" t="s">
        <v>213</v>
      </c>
      <c r="D79" s="148" t="s">
        <v>587</v>
      </c>
      <c r="E79" s="148" t="s">
        <v>588</v>
      </c>
      <c r="F79" s="412">
        <f>('9a. Workforce'!G77*7/12)+('9a. Workforce'!J77*5/12)</f>
        <v>0.41666666666666669</v>
      </c>
      <c r="G79" s="169">
        <f>('9a. Workforce'!H77*7/12)+('9a. Workforce'!K77*5/12)</f>
        <v>54.083333333333336</v>
      </c>
      <c r="H79" s="412">
        <f>'9a. Workforce'!L77</f>
        <v>1</v>
      </c>
      <c r="I79" s="169">
        <f>'9a. Workforce'!M77</f>
        <v>129.80000000000001</v>
      </c>
      <c r="J79" s="412">
        <f t="shared" si="36"/>
        <v>1</v>
      </c>
      <c r="K79" s="169">
        <f t="shared" si="37"/>
        <v>132.65560000000002</v>
      </c>
      <c r="L79" s="412">
        <f t="shared" si="38"/>
        <v>1</v>
      </c>
      <c r="M79" s="169">
        <f t="shared" si="39"/>
        <v>135.57402320000003</v>
      </c>
      <c r="N79" s="412">
        <f t="shared" si="40"/>
        <v>1</v>
      </c>
      <c r="O79" s="169">
        <f t="shared" si="41"/>
        <v>138.55665171040002</v>
      </c>
    </row>
    <row r="80" spans="1:15">
      <c r="A80" s="148" t="s">
        <v>575</v>
      </c>
      <c r="B80" s="148" t="s">
        <v>330</v>
      </c>
      <c r="C80" s="148" t="s">
        <v>213</v>
      </c>
      <c r="D80" s="148" t="s">
        <v>587</v>
      </c>
      <c r="E80" s="148" t="s">
        <v>613</v>
      </c>
      <c r="F80" s="412">
        <f>('9a. Workforce'!G78*7/12)+('9a. Workforce'!J78*5/12)</f>
        <v>5.8333333333333341E-2</v>
      </c>
      <c r="G80" s="169">
        <f>('9a. Workforce'!H78*7/12)+('9a. Workforce'!K78*5/12)</f>
        <v>7.5716666666666681</v>
      </c>
      <c r="H80" s="412">
        <f>'9a. Workforce'!L78</f>
        <v>0</v>
      </c>
      <c r="I80" s="169">
        <f>'9a. Workforce'!M78</f>
        <v>0</v>
      </c>
      <c r="J80" s="412">
        <f t="shared" si="36"/>
        <v>0</v>
      </c>
      <c r="K80" s="169">
        <f t="shared" si="37"/>
        <v>0</v>
      </c>
      <c r="L80" s="412">
        <f t="shared" si="38"/>
        <v>0</v>
      </c>
      <c r="M80" s="169">
        <f t="shared" si="39"/>
        <v>0</v>
      </c>
      <c r="N80" s="412">
        <f t="shared" si="40"/>
        <v>0</v>
      </c>
      <c r="O80" s="169">
        <f t="shared" si="41"/>
        <v>0</v>
      </c>
    </row>
    <row r="81" spans="1:15">
      <c r="A81" s="148" t="s">
        <v>575</v>
      </c>
      <c r="B81" s="148" t="s">
        <v>330</v>
      </c>
      <c r="C81" s="148" t="s">
        <v>215</v>
      </c>
      <c r="D81" s="148" t="s">
        <v>607</v>
      </c>
      <c r="E81" s="148" t="s">
        <v>614</v>
      </c>
      <c r="F81" s="412">
        <f>('9a. Workforce'!G79*7/12)+('9a. Workforce'!J79*5/12)</f>
        <v>5.8333333333333341E-2</v>
      </c>
      <c r="G81" s="169">
        <f>('9a. Workforce'!H79*7/12)+('9a. Workforce'!K79*5/12)</f>
        <v>7.5716666666666681</v>
      </c>
      <c r="H81" s="412">
        <f>'9a. Workforce'!L79</f>
        <v>0</v>
      </c>
      <c r="I81" s="169">
        <f>'9a. Workforce'!M79</f>
        <v>0</v>
      </c>
      <c r="J81" s="412">
        <f t="shared" si="36"/>
        <v>0</v>
      </c>
      <c r="K81" s="169">
        <f t="shared" si="37"/>
        <v>0</v>
      </c>
      <c r="L81" s="412">
        <f t="shared" si="38"/>
        <v>0</v>
      </c>
      <c r="M81" s="169">
        <f t="shared" si="39"/>
        <v>0</v>
      </c>
      <c r="N81" s="412">
        <f t="shared" si="40"/>
        <v>0</v>
      </c>
      <c r="O81" s="169">
        <f t="shared" si="41"/>
        <v>0</v>
      </c>
    </row>
    <row r="82" spans="1:15">
      <c r="A82" s="148" t="s">
        <v>575</v>
      </c>
      <c r="B82" s="148" t="s">
        <v>330</v>
      </c>
      <c r="C82" s="148" t="s">
        <v>115</v>
      </c>
      <c r="D82" s="148" t="s">
        <v>115</v>
      </c>
      <c r="E82" s="148" t="s">
        <v>589</v>
      </c>
      <c r="F82" s="412">
        <f>('9a. Workforce'!G80*7/12)+('9a. Workforce'!J80*5/12)</f>
        <v>8.3333333333333329E-2</v>
      </c>
      <c r="G82" s="169">
        <f>(('9a. Workforce'!H80*7/12)+('9a. Workforce'!K80*5/12))*0.971</f>
        <v>10.486800000000002</v>
      </c>
      <c r="H82" s="412">
        <f>'9a. Workforce'!L80</f>
        <v>0.2</v>
      </c>
      <c r="I82" s="169">
        <f>'9a. Workforce'!M80</f>
        <v>25.92</v>
      </c>
      <c r="J82" s="412">
        <f t="shared" si="36"/>
        <v>0.2</v>
      </c>
      <c r="K82" s="169">
        <f t="shared" si="37"/>
        <v>26.490240000000004</v>
      </c>
      <c r="L82" s="412">
        <f t="shared" si="38"/>
        <v>0.2</v>
      </c>
      <c r="M82" s="169">
        <f t="shared" si="39"/>
        <v>27.073025280000003</v>
      </c>
      <c r="N82" s="412">
        <f t="shared" si="40"/>
        <v>0.2</v>
      </c>
      <c r="O82" s="169">
        <f t="shared" si="41"/>
        <v>27.668631836160003</v>
      </c>
    </row>
    <row r="83" spans="1:15">
      <c r="A83" s="148" t="s">
        <v>575</v>
      </c>
      <c r="B83" s="148" t="s">
        <v>330</v>
      </c>
      <c r="C83" s="148" t="s">
        <v>115</v>
      </c>
      <c r="D83" s="148" t="s">
        <v>115</v>
      </c>
      <c r="E83" s="148" t="s">
        <v>590</v>
      </c>
      <c r="F83" s="412">
        <f>('9a. Workforce'!G81*7/12)+('9a. Workforce'!J81*5/12)</f>
        <v>4.1666666666666664E-2</v>
      </c>
      <c r="G83" s="169">
        <f>(('9a. Workforce'!H81*7/12)+('9a. Workforce'!K81*5/12))*0.971</f>
        <v>5.2434000000000012</v>
      </c>
      <c r="H83" s="412">
        <f>'9a. Workforce'!L81</f>
        <v>0.1</v>
      </c>
      <c r="I83" s="169">
        <f>'9a. Workforce'!M81</f>
        <v>12.96</v>
      </c>
      <c r="J83" s="412">
        <f t="shared" si="36"/>
        <v>0.1</v>
      </c>
      <c r="K83" s="169">
        <f t="shared" si="37"/>
        <v>13.245120000000002</v>
      </c>
      <c r="L83" s="412">
        <f t="shared" si="38"/>
        <v>0.1</v>
      </c>
      <c r="M83" s="169">
        <f t="shared" si="39"/>
        <v>13.536512640000002</v>
      </c>
      <c r="N83" s="412">
        <f t="shared" si="40"/>
        <v>0.1</v>
      </c>
      <c r="O83" s="169">
        <f t="shared" si="41"/>
        <v>13.834315918080001</v>
      </c>
    </row>
    <row r="84" spans="1:15">
      <c r="A84" s="148" t="s">
        <v>575</v>
      </c>
      <c r="B84" s="148" t="s">
        <v>330</v>
      </c>
      <c r="C84" s="148" t="s">
        <v>215</v>
      </c>
      <c r="D84" s="148" t="s">
        <v>591</v>
      </c>
      <c r="E84" s="148" t="s">
        <v>592</v>
      </c>
      <c r="F84" s="412">
        <f>('9a. Workforce'!G82*7/12)+('9a. Workforce'!J82*5/12)</f>
        <v>0.16666666666666666</v>
      </c>
      <c r="G84" s="169">
        <f>('9a. Workforce'!H82*7/12)+('9a. Workforce'!K82*5/12)</f>
        <v>21.633333333333336</v>
      </c>
      <c r="H84" s="412">
        <f>'9a. Workforce'!L82</f>
        <v>0.4</v>
      </c>
      <c r="I84" s="169">
        <f>'9a. Workforce'!M82</f>
        <v>51.920000000000009</v>
      </c>
      <c r="J84" s="412">
        <f t="shared" si="36"/>
        <v>0.4</v>
      </c>
      <c r="K84" s="169">
        <f t="shared" si="37"/>
        <v>53.06224000000001</v>
      </c>
      <c r="L84" s="412">
        <f t="shared" si="38"/>
        <v>0.4</v>
      </c>
      <c r="M84" s="169">
        <f t="shared" si="39"/>
        <v>54.229609280000012</v>
      </c>
      <c r="N84" s="412">
        <f t="shared" si="40"/>
        <v>0.4</v>
      </c>
      <c r="O84" s="169">
        <f t="shared" si="41"/>
        <v>55.422660684160014</v>
      </c>
    </row>
    <row r="85" spans="1:15">
      <c r="A85" s="148" t="s">
        <v>575</v>
      </c>
      <c r="B85" s="148" t="s">
        <v>330</v>
      </c>
      <c r="C85" s="148" t="s">
        <v>212</v>
      </c>
      <c r="D85" s="148" t="s">
        <v>593</v>
      </c>
      <c r="E85" s="148" t="s">
        <v>594</v>
      </c>
      <c r="F85" s="412">
        <f>('9a. Workforce'!G83*7/12)+('9a. Workforce'!J83*5/12)</f>
        <v>8.3333333333333329E-2</v>
      </c>
      <c r="G85" s="169">
        <f>('9a. Workforce'!H83*7/12)+('9a. Workforce'!K83*5/12)</f>
        <v>10.816666666666668</v>
      </c>
      <c r="H85" s="412">
        <f>'9a. Workforce'!L83</f>
        <v>0.2</v>
      </c>
      <c r="I85" s="169">
        <f>'9a. Workforce'!M83</f>
        <v>25.960000000000004</v>
      </c>
      <c r="J85" s="412">
        <f t="shared" si="36"/>
        <v>0.2</v>
      </c>
      <c r="K85" s="169">
        <f t="shared" si="37"/>
        <v>26.531120000000005</v>
      </c>
      <c r="L85" s="412">
        <f t="shared" si="38"/>
        <v>0.2</v>
      </c>
      <c r="M85" s="169">
        <f t="shared" si="39"/>
        <v>27.114804640000006</v>
      </c>
      <c r="N85" s="412">
        <f t="shared" si="40"/>
        <v>0.2</v>
      </c>
      <c r="O85" s="169">
        <f t="shared" si="41"/>
        <v>27.711330342080007</v>
      </c>
    </row>
    <row r="86" spans="1:15">
      <c r="A86" s="148" t="s">
        <v>575</v>
      </c>
      <c r="B86" s="148" t="s">
        <v>330</v>
      </c>
      <c r="C86" s="148" t="s">
        <v>213</v>
      </c>
      <c r="D86" s="148" t="s">
        <v>595</v>
      </c>
      <c r="E86" s="148" t="s">
        <v>596</v>
      </c>
      <c r="F86" s="412">
        <f>('9a. Workforce'!G84*7/12)+('9a. Workforce'!J84*5/12)</f>
        <v>0.41666666666666669</v>
      </c>
      <c r="G86" s="169">
        <f>('9a. Workforce'!H84*7/12)+('9a. Workforce'!K84*5/12)</f>
        <v>32.208333333333336</v>
      </c>
      <c r="H86" s="412">
        <f>'9a. Workforce'!L84</f>
        <v>1</v>
      </c>
      <c r="I86" s="169">
        <f>'9a. Workforce'!M84</f>
        <v>77.3</v>
      </c>
      <c r="J86" s="412">
        <f t="shared" si="36"/>
        <v>1</v>
      </c>
      <c r="K86" s="169">
        <f t="shared" si="37"/>
        <v>79.000600000000006</v>
      </c>
      <c r="L86" s="412">
        <f t="shared" si="38"/>
        <v>1</v>
      </c>
      <c r="M86" s="169">
        <f t="shared" si="39"/>
        <v>80.738613200000003</v>
      </c>
      <c r="N86" s="412">
        <f t="shared" si="40"/>
        <v>1</v>
      </c>
      <c r="O86" s="169">
        <f t="shared" si="41"/>
        <v>82.514862690400008</v>
      </c>
    </row>
    <row r="87" spans="1:15">
      <c r="A87" s="148" t="s">
        <v>575</v>
      </c>
      <c r="B87" s="148" t="s">
        <v>330</v>
      </c>
      <c r="C87" s="148" t="s">
        <v>213</v>
      </c>
      <c r="D87" s="148" t="s">
        <v>597</v>
      </c>
      <c r="E87" s="148" t="s">
        <v>598</v>
      </c>
      <c r="F87" s="412">
        <f>('9a. Workforce'!G85*7/12)+('9a. Workforce'!J85*5/12)</f>
        <v>0.20833333333333334</v>
      </c>
      <c r="G87" s="169">
        <f>('9a. Workforce'!H85*7/12)+('9a. Workforce'!K85*5/12)</f>
        <v>24.5</v>
      </c>
      <c r="H87" s="412">
        <f>'9a. Workforce'!L85</f>
        <v>0.5</v>
      </c>
      <c r="I87" s="169">
        <f>'9a. Workforce'!M85</f>
        <v>58.8</v>
      </c>
      <c r="J87" s="412">
        <f t="shared" si="36"/>
        <v>0.5</v>
      </c>
      <c r="K87" s="169">
        <f t="shared" si="37"/>
        <v>60.093599999999995</v>
      </c>
      <c r="L87" s="412">
        <f t="shared" si="38"/>
        <v>0.5</v>
      </c>
      <c r="M87" s="169">
        <f t="shared" si="39"/>
        <v>61.415659199999993</v>
      </c>
      <c r="N87" s="412">
        <f t="shared" si="40"/>
        <v>0.5</v>
      </c>
      <c r="O87" s="169">
        <f t="shared" si="41"/>
        <v>62.766803702399997</v>
      </c>
    </row>
    <row r="88" spans="1:15">
      <c r="A88" s="148" t="s">
        <v>575</v>
      </c>
      <c r="B88" s="148" t="s">
        <v>330</v>
      </c>
      <c r="C88" s="148" t="s">
        <v>215</v>
      </c>
      <c r="D88" s="148" t="s">
        <v>569</v>
      </c>
      <c r="E88" s="148" t="s">
        <v>599</v>
      </c>
      <c r="F88" s="412">
        <f>('9a. Workforce'!G86*7/12)+('9a. Workforce'!J86*5/12)</f>
        <v>0</v>
      </c>
      <c r="G88" s="169">
        <f>('9a. Workforce'!H86*7/12)+('9a. Workforce'!K86*5/12)</f>
        <v>0</v>
      </c>
      <c r="H88" s="412">
        <f>'9a. Workforce'!L86</f>
        <v>0</v>
      </c>
      <c r="I88" s="169">
        <f>'9a. Workforce'!M86</f>
        <v>0</v>
      </c>
      <c r="J88" s="412">
        <f t="shared" si="36"/>
        <v>0</v>
      </c>
      <c r="K88" s="169">
        <f t="shared" si="37"/>
        <v>0</v>
      </c>
      <c r="L88" s="412">
        <f t="shared" si="38"/>
        <v>0</v>
      </c>
      <c r="M88" s="169">
        <f t="shared" si="39"/>
        <v>0</v>
      </c>
      <c r="N88" s="412">
        <f t="shared" si="40"/>
        <v>0</v>
      </c>
      <c r="O88" s="169">
        <f t="shared" si="41"/>
        <v>0</v>
      </c>
    </row>
    <row r="89" spans="1:15">
      <c r="A89" s="148" t="s">
        <v>575</v>
      </c>
      <c r="B89" s="148" t="s">
        <v>330</v>
      </c>
      <c r="C89" s="148" t="s">
        <v>215</v>
      </c>
      <c r="D89" s="148" t="s">
        <v>569</v>
      </c>
      <c r="E89" s="148" t="s">
        <v>585</v>
      </c>
      <c r="F89" s="412">
        <f>('9a. Workforce'!G87*7/12)+('9a. Workforce'!J87*5/12)</f>
        <v>0</v>
      </c>
      <c r="G89" s="169">
        <f>('9a. Workforce'!H87*7/12)+('9a. Workforce'!K87*5/12)</f>
        <v>0</v>
      </c>
      <c r="H89" s="412">
        <f>'9a. Workforce'!L87</f>
        <v>0</v>
      </c>
      <c r="I89" s="169">
        <f>'9a. Workforce'!M87</f>
        <v>0</v>
      </c>
      <c r="J89" s="412">
        <f t="shared" si="36"/>
        <v>0</v>
      </c>
      <c r="K89" s="169">
        <f t="shared" si="37"/>
        <v>0</v>
      </c>
      <c r="L89" s="412">
        <f t="shared" si="38"/>
        <v>0</v>
      </c>
      <c r="M89" s="169">
        <f t="shared" si="39"/>
        <v>0</v>
      </c>
      <c r="N89" s="412">
        <f t="shared" si="40"/>
        <v>0</v>
      </c>
      <c r="O89" s="169">
        <f t="shared" si="41"/>
        <v>0</v>
      </c>
    </row>
    <row r="90" spans="1:15">
      <c r="A90" s="148" t="s">
        <v>575</v>
      </c>
      <c r="B90" s="148" t="s">
        <v>330</v>
      </c>
      <c r="C90" s="148" t="s">
        <v>215</v>
      </c>
      <c r="D90" s="148" t="s">
        <v>569</v>
      </c>
      <c r="E90" s="148" t="s">
        <v>600</v>
      </c>
      <c r="F90" s="412">
        <f>('9a. Workforce'!G88*7/12)+('9a. Workforce'!J88*5/12)</f>
        <v>0</v>
      </c>
      <c r="G90" s="169">
        <f>('9a. Workforce'!H88*7/12)+('9a. Workforce'!K88*5/12)</f>
        <v>0</v>
      </c>
      <c r="H90" s="412">
        <f>'9a. Workforce'!L88</f>
        <v>0</v>
      </c>
      <c r="I90" s="169">
        <f>'9a. Workforce'!M88</f>
        <v>0</v>
      </c>
      <c r="J90" s="412">
        <f t="shared" si="36"/>
        <v>0</v>
      </c>
      <c r="K90" s="169">
        <f t="shared" si="37"/>
        <v>0</v>
      </c>
      <c r="L90" s="412">
        <f t="shared" si="38"/>
        <v>0</v>
      </c>
      <c r="M90" s="169">
        <f t="shared" si="39"/>
        <v>0</v>
      </c>
      <c r="N90" s="412">
        <f t="shared" si="40"/>
        <v>0</v>
      </c>
      <c r="O90" s="169">
        <f t="shared" si="41"/>
        <v>0</v>
      </c>
    </row>
    <row r="91" spans="1:15">
      <c r="F91" s="414">
        <f>SUM(F5:F90)</f>
        <v>192.39611339499592</v>
      </c>
      <c r="G91" s="419">
        <f t="shared" ref="G91:O91" si="42">SUM(G5:G90)</f>
        <v>10761.173633095799</v>
      </c>
      <c r="H91" s="414">
        <f t="shared" si="42"/>
        <v>336.51803571120246</v>
      </c>
      <c r="I91" s="419">
        <f t="shared" si="42"/>
        <v>18724.187043599177</v>
      </c>
      <c r="J91" s="414">
        <f t="shared" si="42"/>
        <v>337.77420558113295</v>
      </c>
      <c r="K91" s="419">
        <f t="shared" si="42"/>
        <v>19194.603611836668</v>
      </c>
      <c r="L91" s="414">
        <f t="shared" si="42"/>
        <v>339.21000774246357</v>
      </c>
      <c r="M91" s="419">
        <f t="shared" si="42"/>
        <v>19685.180111612801</v>
      </c>
      <c r="N91" s="414">
        <f t="shared" si="42"/>
        <v>340.59045175379623</v>
      </c>
      <c r="O91" s="419">
        <f t="shared" si="42"/>
        <v>20185.335157133963</v>
      </c>
    </row>
  </sheetData>
  <autoFilter ref="A4:O91" xr:uid="{EDAF65FD-4F61-41F5-A6EB-E792886943C0}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4543-94FE-4B13-AD85-66460C3209D0}">
  <dimension ref="A1:K18"/>
  <sheetViews>
    <sheetView workbookViewId="0">
      <selection activeCell="B13" sqref="B13"/>
    </sheetView>
  </sheetViews>
  <sheetFormatPr baseColWidth="10" defaultColWidth="9.1640625" defaultRowHeight="14"/>
  <cols>
    <col min="1" max="1" width="22.83203125" style="148" bestFit="1" customWidth="1"/>
    <col min="2" max="2" width="11.6640625" style="412" bestFit="1" customWidth="1"/>
    <col min="3" max="3" width="15.6640625" style="412" bestFit="1" customWidth="1"/>
    <col min="4" max="4" width="11.6640625" style="412" bestFit="1" customWidth="1"/>
    <col min="5" max="5" width="15.6640625" style="412" bestFit="1" customWidth="1"/>
    <col min="6" max="6" width="11.6640625" style="412" bestFit="1" customWidth="1"/>
    <col min="7" max="7" width="15.6640625" style="412" bestFit="1" customWidth="1"/>
    <col min="8" max="8" width="11.6640625" style="412" bestFit="1" customWidth="1"/>
    <col min="9" max="9" width="15.6640625" style="412" bestFit="1" customWidth="1"/>
    <col min="10" max="10" width="11.6640625" style="412" bestFit="1" customWidth="1"/>
    <col min="11" max="11" width="15.6640625" style="412" bestFit="1" customWidth="1"/>
    <col min="12" max="16384" width="9.1640625" style="148"/>
  </cols>
  <sheetData>
    <row r="1" spans="1:11" s="152" customFormat="1" ht="36" customHeight="1">
      <c r="A1" s="422" t="s">
        <v>629</v>
      </c>
      <c r="B1" s="423" t="s">
        <v>630</v>
      </c>
      <c r="C1" s="423" t="s">
        <v>631</v>
      </c>
      <c r="D1" s="423" t="s">
        <v>632</v>
      </c>
      <c r="E1" s="423" t="s">
        <v>633</v>
      </c>
      <c r="F1" s="423" t="s">
        <v>634</v>
      </c>
      <c r="G1" s="423" t="s">
        <v>635</v>
      </c>
      <c r="H1" s="423" t="s">
        <v>636</v>
      </c>
      <c r="I1" s="423" t="s">
        <v>637</v>
      </c>
      <c r="J1" s="423" t="s">
        <v>638</v>
      </c>
      <c r="K1" s="423" t="s">
        <v>639</v>
      </c>
    </row>
    <row r="2" spans="1:11">
      <c r="A2" s="420" t="s">
        <v>211</v>
      </c>
      <c r="B2" s="425">
        <v>11.181267083333333</v>
      </c>
      <c r="C2" s="425">
        <v>395.22470279166669</v>
      </c>
      <c r="D2" s="425">
        <v>18.386699999999998</v>
      </c>
      <c r="E2" s="425">
        <v>649.56529</v>
      </c>
      <c r="F2" s="425">
        <v>18.4994552</v>
      </c>
      <c r="G2" s="425">
        <v>667.8719606200001</v>
      </c>
      <c r="H2" s="425">
        <v>18.628334393599999</v>
      </c>
      <c r="I2" s="425">
        <v>687.25510128740007</v>
      </c>
      <c r="J2" s="425">
        <v>18.752244578291197</v>
      </c>
      <c r="K2" s="425">
        <v>706.98129402666041</v>
      </c>
    </row>
    <row r="3" spans="1:11">
      <c r="A3" s="420" t="s">
        <v>212</v>
      </c>
      <c r="B3" s="425">
        <v>13.826722222222225</v>
      </c>
      <c r="C3" s="425">
        <v>714.12274861111121</v>
      </c>
      <c r="D3" s="425">
        <v>24.643333333333334</v>
      </c>
      <c r="E3" s="425">
        <v>1275.6976666666667</v>
      </c>
      <c r="F3" s="425">
        <v>25.006426666666666</v>
      </c>
      <c r="G3" s="425">
        <v>1322.1124180000002</v>
      </c>
      <c r="H3" s="425">
        <v>25.421442346666669</v>
      </c>
      <c r="I3" s="425">
        <v>1372.6264061600002</v>
      </c>
      <c r="J3" s="425">
        <v>25.820456866559997</v>
      </c>
      <c r="K3" s="425">
        <v>1423.87076846016</v>
      </c>
    </row>
    <row r="4" spans="1:11">
      <c r="A4" s="420" t="s">
        <v>115</v>
      </c>
      <c r="B4" s="425">
        <v>18.24429207109673</v>
      </c>
      <c r="C4" s="425">
        <v>2348.0804496426545</v>
      </c>
      <c r="D4" s="425">
        <v>26.997781725291741</v>
      </c>
      <c r="E4" s="425">
        <v>3657.1870675844457</v>
      </c>
      <c r="F4" s="425">
        <v>27.031509484928929</v>
      </c>
      <c r="G4" s="425">
        <v>3741.9426173146371</v>
      </c>
      <c r="H4" s="425">
        <v>27.070060314194233</v>
      </c>
      <c r="I4" s="425">
        <v>3829.283683733212</v>
      </c>
      <c r="J4" s="425">
        <v>27.107124794820091</v>
      </c>
      <c r="K4" s="425">
        <v>3918.457038878103</v>
      </c>
    </row>
    <row r="5" spans="1:11">
      <c r="A5" s="420" t="s">
        <v>213</v>
      </c>
      <c r="B5" s="425">
        <v>1.9833333333333334</v>
      </c>
      <c r="C5" s="425">
        <v>164.47666666666666</v>
      </c>
      <c r="D5" s="425">
        <v>3.5</v>
      </c>
      <c r="E5" s="425">
        <v>314.3</v>
      </c>
      <c r="F5" s="425">
        <v>3.5</v>
      </c>
      <c r="G5" s="425">
        <v>321.21460000000002</v>
      </c>
      <c r="H5" s="425">
        <v>3.5</v>
      </c>
      <c r="I5" s="425">
        <v>328.28132120000004</v>
      </c>
      <c r="J5" s="425">
        <v>3.5</v>
      </c>
      <c r="K5" s="425">
        <v>335.50351026640004</v>
      </c>
    </row>
    <row r="6" spans="1:11">
      <c r="A6" s="420" t="s">
        <v>214</v>
      </c>
      <c r="B6" s="425">
        <v>18.805237025745257</v>
      </c>
      <c r="C6" s="425">
        <v>1563.6597638389512</v>
      </c>
      <c r="D6" s="425">
        <v>27.475796747967479</v>
      </c>
      <c r="E6" s="425">
        <v>2412.4876078048783</v>
      </c>
      <c r="F6" s="425">
        <v>27.475796747967479</v>
      </c>
      <c r="G6" s="425">
        <v>2465.5623351765853</v>
      </c>
      <c r="H6" s="425">
        <v>27.475796747967479</v>
      </c>
      <c r="I6" s="425">
        <v>2519.8047065504702</v>
      </c>
      <c r="J6" s="425">
        <v>27.475796747967479</v>
      </c>
      <c r="K6" s="425">
        <v>2575.2404100945805</v>
      </c>
    </row>
    <row r="7" spans="1:11">
      <c r="A7" s="420" t="s">
        <v>215</v>
      </c>
      <c r="B7" s="425">
        <v>127.08792832593167</v>
      </c>
      <c r="C7" s="425">
        <v>5496.2773182114151</v>
      </c>
      <c r="D7" s="425">
        <v>233.29942390460999</v>
      </c>
      <c r="E7" s="425">
        <v>10285.150411543194</v>
      </c>
      <c r="F7" s="425">
        <v>234.01657748157001</v>
      </c>
      <c r="G7" s="425">
        <v>10541.519918725444</v>
      </c>
      <c r="H7" s="425">
        <v>234.83628402003529</v>
      </c>
      <c r="I7" s="425">
        <v>10808.578192301726</v>
      </c>
      <c r="J7" s="425">
        <v>235.62438631751755</v>
      </c>
      <c r="K7" s="425">
        <v>11080.886950823537</v>
      </c>
    </row>
    <row r="8" spans="1:11">
      <c r="A8" s="420" t="s">
        <v>216</v>
      </c>
      <c r="B8" s="425">
        <v>1.2673333333333334</v>
      </c>
      <c r="C8" s="425">
        <v>79.331983333333312</v>
      </c>
      <c r="D8" s="425">
        <v>2.2149999999999999</v>
      </c>
      <c r="E8" s="425">
        <v>129.79900000000001</v>
      </c>
      <c r="F8" s="425">
        <v>2.24444</v>
      </c>
      <c r="G8" s="425">
        <v>134.379762</v>
      </c>
      <c r="H8" s="425">
        <v>2.2780899200000002</v>
      </c>
      <c r="I8" s="425">
        <v>139.35070038000001</v>
      </c>
      <c r="J8" s="425">
        <v>2.3104424486399999</v>
      </c>
      <c r="K8" s="425">
        <v>144.39518458452</v>
      </c>
    </row>
    <row r="9" spans="1:11">
      <c r="A9" s="420" t="s">
        <v>439</v>
      </c>
      <c r="B9" s="425">
        <v>192.39611339499589</v>
      </c>
      <c r="C9" s="425">
        <v>10761.173633095797</v>
      </c>
      <c r="D9" s="425">
        <v>336.51803571120251</v>
      </c>
      <c r="E9" s="425">
        <v>18724.187043599184</v>
      </c>
      <c r="F9" s="425">
        <v>337.77420558113312</v>
      </c>
      <c r="G9" s="425">
        <v>19194.603611836668</v>
      </c>
      <c r="H9" s="425">
        <v>339.21000774246369</v>
      </c>
      <c r="I9" s="425">
        <v>19685.180111612808</v>
      </c>
      <c r="J9" s="425">
        <v>340.59045175379634</v>
      </c>
      <c r="K9" s="425">
        <v>20185.335157133959</v>
      </c>
    </row>
    <row r="10" spans="1:11">
      <c r="A10" s="1"/>
      <c r="B10" s="421"/>
      <c r="C10" s="421"/>
    </row>
    <row r="11" spans="1:11">
      <c r="A11" s="1"/>
      <c r="B11" s="421"/>
      <c r="C11" s="421"/>
    </row>
    <row r="12" spans="1:11">
      <c r="A12" s="1"/>
      <c r="B12" s="421"/>
      <c r="C12" s="421"/>
    </row>
    <row r="13" spans="1:11">
      <c r="A13" s="1"/>
      <c r="B13" s="421"/>
      <c r="C13" s="421"/>
    </row>
    <row r="14" spans="1:11">
      <c r="A14" s="1"/>
      <c r="B14" s="421"/>
      <c r="C14" s="421"/>
    </row>
    <row r="15" spans="1:11">
      <c r="A15" s="1"/>
      <c r="B15" s="421"/>
      <c r="C15" s="421"/>
    </row>
    <row r="16" spans="1:11">
      <c r="A16" s="1"/>
      <c r="B16" s="421"/>
      <c r="C16" s="421"/>
    </row>
    <row r="17" spans="1:3">
      <c r="A17" s="1"/>
      <c r="B17" s="421"/>
      <c r="C17" s="421"/>
    </row>
    <row r="18" spans="1:3">
      <c r="A18" s="1"/>
      <c r="B18" s="421"/>
      <c r="C18" s="42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25"/>
  <sheetViews>
    <sheetView topLeftCell="A2" zoomScale="80" zoomScaleNormal="80" workbookViewId="0">
      <selection activeCell="B30" sqref="B30"/>
    </sheetView>
  </sheetViews>
  <sheetFormatPr baseColWidth="10" defaultColWidth="9.1640625" defaultRowHeight="11"/>
  <cols>
    <col min="1" max="1" width="50.5" style="189" customWidth="1"/>
    <col min="2" max="2" width="12" style="189" customWidth="1"/>
    <col min="3" max="3" width="10.6640625" style="189" customWidth="1"/>
    <col min="4" max="4" width="10.6640625" style="189" bestFit="1" customWidth="1"/>
    <col min="5" max="6" width="9.1640625" style="189"/>
    <col min="7" max="7" width="11.1640625" style="189" bestFit="1" customWidth="1"/>
    <col min="8" max="8" width="9.83203125" style="189" bestFit="1" customWidth="1"/>
    <col min="9" max="9" width="15.5" style="189" customWidth="1"/>
    <col min="10" max="10" width="31.6640625" style="189" bestFit="1" customWidth="1"/>
    <col min="11" max="15" width="9.1640625" style="189"/>
    <col min="16" max="16" width="13.5" style="189" customWidth="1"/>
    <col min="17" max="17" width="13.33203125" style="189" customWidth="1"/>
    <col min="18" max="18" width="15.33203125" style="189" customWidth="1"/>
    <col min="19" max="19" width="32.33203125" style="189" customWidth="1"/>
    <col min="20" max="24" width="9.1640625" style="189"/>
    <col min="25" max="25" width="14.1640625" style="189" customWidth="1"/>
    <col min="26" max="26" width="9.83203125" style="189" bestFit="1" customWidth="1"/>
    <col min="27" max="27" width="14.5" style="189" customWidth="1"/>
    <col min="28" max="16384" width="9.1640625" style="189"/>
  </cols>
  <sheetData>
    <row r="1" spans="1:27">
      <c r="A1" s="494" t="s">
        <v>258</v>
      </c>
      <c r="B1" s="495"/>
      <c r="C1" s="495"/>
      <c r="D1" s="495"/>
      <c r="E1" s="495"/>
      <c r="F1" s="495"/>
      <c r="G1" s="495"/>
      <c r="H1" s="495"/>
      <c r="I1" s="496"/>
      <c r="J1" s="494" t="s">
        <v>259</v>
      </c>
      <c r="K1" s="495"/>
      <c r="L1" s="495"/>
      <c r="M1" s="495"/>
      <c r="N1" s="495"/>
      <c r="O1" s="495"/>
      <c r="P1" s="495"/>
      <c r="Q1" s="495"/>
      <c r="R1" s="496"/>
      <c r="S1" s="494" t="s">
        <v>260</v>
      </c>
      <c r="T1" s="495"/>
      <c r="U1" s="495"/>
      <c r="V1" s="495"/>
      <c r="W1" s="495"/>
      <c r="X1" s="495"/>
      <c r="Y1" s="495"/>
      <c r="Z1" s="495"/>
      <c r="AA1" s="496"/>
    </row>
    <row r="2" spans="1:27" ht="36">
      <c r="A2" s="190" t="s">
        <v>231</v>
      </c>
      <c r="B2" s="191" t="s">
        <v>232</v>
      </c>
      <c r="C2" s="192" t="s">
        <v>233</v>
      </c>
      <c r="D2" s="192" t="s">
        <v>234</v>
      </c>
      <c r="E2" s="192" t="s">
        <v>235</v>
      </c>
      <c r="F2" s="192" t="s">
        <v>236</v>
      </c>
      <c r="G2" s="192" t="s">
        <v>237</v>
      </c>
      <c r="H2" s="192" t="s">
        <v>238</v>
      </c>
      <c r="I2" s="193" t="s">
        <v>239</v>
      </c>
      <c r="J2" s="190" t="s">
        <v>231</v>
      </c>
      <c r="K2" s="191" t="s">
        <v>232</v>
      </c>
      <c r="L2" s="192" t="s">
        <v>233</v>
      </c>
      <c r="M2" s="192" t="s">
        <v>234</v>
      </c>
      <c r="N2" s="192" t="s">
        <v>235</v>
      </c>
      <c r="O2" s="192" t="s">
        <v>236</v>
      </c>
      <c r="P2" s="192" t="s">
        <v>237</v>
      </c>
      <c r="Q2" s="192" t="s">
        <v>238</v>
      </c>
      <c r="R2" s="193" t="s">
        <v>239</v>
      </c>
      <c r="S2" s="190" t="s">
        <v>231</v>
      </c>
      <c r="T2" s="191" t="s">
        <v>232</v>
      </c>
      <c r="U2" s="192" t="s">
        <v>233</v>
      </c>
      <c r="V2" s="192" t="s">
        <v>234</v>
      </c>
      <c r="W2" s="192" t="s">
        <v>235</v>
      </c>
      <c r="X2" s="192" t="s">
        <v>236</v>
      </c>
      <c r="Y2" s="192" t="s">
        <v>237</v>
      </c>
      <c r="Z2" s="192" t="s">
        <v>238</v>
      </c>
      <c r="AA2" s="193" t="s">
        <v>239</v>
      </c>
    </row>
    <row r="3" spans="1:27">
      <c r="A3" s="194" t="s">
        <v>240</v>
      </c>
      <c r="B3" s="195">
        <v>842</v>
      </c>
      <c r="C3" s="196" t="s">
        <v>241</v>
      </c>
      <c r="D3" s="196"/>
      <c r="E3" s="197"/>
      <c r="F3" s="196"/>
      <c r="G3" s="197">
        <f>4655657+40000</f>
        <v>4695657</v>
      </c>
      <c r="H3" s="197">
        <v>800000</v>
      </c>
      <c r="I3" s="198">
        <f>G3+H3</f>
        <v>5495657</v>
      </c>
      <c r="J3" s="194" t="s">
        <v>240</v>
      </c>
      <c r="K3" s="195">
        <v>842</v>
      </c>
      <c r="L3" s="196" t="s">
        <v>241</v>
      </c>
      <c r="M3" s="196"/>
      <c r="N3" s="197"/>
      <c r="O3" s="196"/>
      <c r="P3" s="197">
        <f>4655657+40000</f>
        <v>4695657</v>
      </c>
      <c r="Q3" s="197">
        <v>800000</v>
      </c>
      <c r="R3" s="198">
        <f>P3+Q3</f>
        <v>5495657</v>
      </c>
      <c r="S3" s="194" t="s">
        <v>240</v>
      </c>
      <c r="T3" s="195">
        <v>842</v>
      </c>
      <c r="U3" s="196" t="s">
        <v>241</v>
      </c>
      <c r="V3" s="196"/>
      <c r="W3" s="197"/>
      <c r="X3" s="196"/>
      <c r="Y3" s="197">
        <f>4655657+40000</f>
        <v>4695657</v>
      </c>
      <c r="Z3" s="197">
        <v>800000</v>
      </c>
      <c r="AA3" s="198">
        <f>Y3+Z3</f>
        <v>5495657</v>
      </c>
    </row>
    <row r="4" spans="1:27">
      <c r="A4" s="194" t="s">
        <v>242</v>
      </c>
      <c r="B4" s="195"/>
      <c r="C4" s="197"/>
      <c r="D4" s="196"/>
      <c r="E4" s="197"/>
      <c r="F4" s="196"/>
      <c r="G4" s="197" t="s">
        <v>243</v>
      </c>
      <c r="H4" s="197"/>
      <c r="I4" s="198"/>
      <c r="J4" s="194" t="s">
        <v>242</v>
      </c>
      <c r="K4" s="195"/>
      <c r="L4" s="197"/>
      <c r="M4" s="196"/>
      <c r="N4" s="197"/>
      <c r="O4" s="196"/>
      <c r="P4" s="197" t="s">
        <v>243</v>
      </c>
      <c r="Q4" s="197"/>
      <c r="R4" s="198"/>
      <c r="S4" s="194" t="s">
        <v>242</v>
      </c>
      <c r="T4" s="195"/>
      <c r="U4" s="197"/>
      <c r="V4" s="196"/>
      <c r="W4" s="197"/>
      <c r="X4" s="196"/>
      <c r="Y4" s="197" t="s">
        <v>243</v>
      </c>
      <c r="Z4" s="197"/>
      <c r="AA4" s="198"/>
    </row>
    <row r="5" spans="1:27">
      <c r="A5" s="194" t="s">
        <v>244</v>
      </c>
      <c r="B5" s="497" t="s">
        <v>245</v>
      </c>
      <c r="C5" s="497"/>
      <c r="D5" s="497"/>
      <c r="E5" s="497"/>
      <c r="F5" s="497"/>
      <c r="G5" s="197">
        <v>200000</v>
      </c>
      <c r="H5" s="197">
        <f>G5*0.15</f>
        <v>30000</v>
      </c>
      <c r="I5" s="198">
        <f t="shared" ref="I5:I9" si="0">G5+H5</f>
        <v>230000</v>
      </c>
      <c r="J5" s="194" t="s">
        <v>244</v>
      </c>
      <c r="K5" s="497" t="s">
        <v>245</v>
      </c>
      <c r="L5" s="497"/>
      <c r="M5" s="497"/>
      <c r="N5" s="497"/>
      <c r="O5" s="497"/>
      <c r="P5" s="197">
        <v>200000</v>
      </c>
      <c r="Q5" s="197">
        <f>P5*0.15</f>
        <v>30000</v>
      </c>
      <c r="R5" s="198">
        <f t="shared" ref="R5:R9" si="1">P5+Q5</f>
        <v>230000</v>
      </c>
      <c r="S5" s="194" t="s">
        <v>244</v>
      </c>
      <c r="T5" s="497" t="s">
        <v>245</v>
      </c>
      <c r="U5" s="497"/>
      <c r="V5" s="497"/>
      <c r="W5" s="497"/>
      <c r="X5" s="497"/>
      <c r="Y5" s="197">
        <v>200000</v>
      </c>
      <c r="Z5" s="197">
        <f>Y5*0.15</f>
        <v>30000</v>
      </c>
      <c r="AA5" s="198">
        <f t="shared" ref="AA5:AA9" si="2">Y5+Z5</f>
        <v>230000</v>
      </c>
    </row>
    <row r="6" spans="1:27">
      <c r="A6" s="194" t="s">
        <v>246</v>
      </c>
      <c r="B6" s="497"/>
      <c r="C6" s="497"/>
      <c r="D6" s="497"/>
      <c r="E6" s="497"/>
      <c r="F6" s="497"/>
      <c r="G6" s="197"/>
      <c r="H6" s="197"/>
      <c r="I6" s="198">
        <f t="shared" si="0"/>
        <v>0</v>
      </c>
      <c r="J6" s="194" t="s">
        <v>246</v>
      </c>
      <c r="K6" s="497"/>
      <c r="L6" s="497"/>
      <c r="M6" s="497"/>
      <c r="N6" s="497"/>
      <c r="O6" s="497"/>
      <c r="P6" s="197"/>
      <c r="Q6" s="197"/>
      <c r="R6" s="198">
        <f t="shared" si="1"/>
        <v>0</v>
      </c>
      <c r="S6" s="194" t="s">
        <v>246</v>
      </c>
      <c r="T6" s="497"/>
      <c r="U6" s="497"/>
      <c r="V6" s="497"/>
      <c r="W6" s="497"/>
      <c r="X6" s="497"/>
      <c r="Y6" s="197"/>
      <c r="Z6" s="197"/>
      <c r="AA6" s="198">
        <f t="shared" si="2"/>
        <v>0</v>
      </c>
    </row>
    <row r="7" spans="1:27">
      <c r="A7" s="194" t="s">
        <v>247</v>
      </c>
      <c r="B7" s="195" t="s">
        <v>243</v>
      </c>
      <c r="C7" s="197"/>
      <c r="D7" s="196"/>
      <c r="E7" s="197"/>
      <c r="F7" s="196"/>
      <c r="G7" s="197"/>
      <c r="H7" s="197"/>
      <c r="I7" s="198">
        <f t="shared" si="0"/>
        <v>0</v>
      </c>
      <c r="J7" s="194" t="s">
        <v>247</v>
      </c>
      <c r="K7" s="195" t="s">
        <v>243</v>
      </c>
      <c r="L7" s="197"/>
      <c r="M7" s="196"/>
      <c r="N7" s="197"/>
      <c r="O7" s="196"/>
      <c r="P7" s="197"/>
      <c r="Q7" s="197"/>
      <c r="R7" s="198">
        <f t="shared" si="1"/>
        <v>0</v>
      </c>
      <c r="S7" s="194" t="s">
        <v>247</v>
      </c>
      <c r="T7" s="195" t="s">
        <v>243</v>
      </c>
      <c r="U7" s="197"/>
      <c r="V7" s="196"/>
      <c r="W7" s="197"/>
      <c r="X7" s="196"/>
      <c r="Y7" s="197"/>
      <c r="Z7" s="197"/>
      <c r="AA7" s="198">
        <f t="shared" si="2"/>
        <v>0</v>
      </c>
    </row>
    <row r="8" spans="1:27">
      <c r="A8" s="194" t="s">
        <v>248</v>
      </c>
      <c r="B8" s="195" t="s">
        <v>243</v>
      </c>
      <c r="C8" s="197"/>
      <c r="D8" s="196"/>
      <c r="E8" s="197"/>
      <c r="F8" s="196"/>
      <c r="G8" s="197"/>
      <c r="H8" s="197"/>
      <c r="I8" s="198">
        <f t="shared" si="0"/>
        <v>0</v>
      </c>
      <c r="J8" s="194" t="s">
        <v>248</v>
      </c>
      <c r="K8" s="195" t="s">
        <v>243</v>
      </c>
      <c r="L8" s="197"/>
      <c r="M8" s="196"/>
      <c r="N8" s="197"/>
      <c r="O8" s="196"/>
      <c r="P8" s="197"/>
      <c r="Q8" s="197"/>
      <c r="R8" s="198">
        <f t="shared" si="1"/>
        <v>0</v>
      </c>
      <c r="S8" s="194" t="s">
        <v>248</v>
      </c>
      <c r="T8" s="195" t="s">
        <v>243</v>
      </c>
      <c r="U8" s="197"/>
      <c r="V8" s="196"/>
      <c r="W8" s="197"/>
      <c r="X8" s="196"/>
      <c r="Y8" s="197"/>
      <c r="Z8" s="197"/>
      <c r="AA8" s="198">
        <f t="shared" si="2"/>
        <v>0</v>
      </c>
    </row>
    <row r="9" spans="1:27">
      <c r="A9" s="194" t="s">
        <v>249</v>
      </c>
      <c r="B9" s="195" t="s">
        <v>243</v>
      </c>
      <c r="C9" s="197"/>
      <c r="D9" s="196"/>
      <c r="E9" s="197"/>
      <c r="F9" s="196"/>
      <c r="G9" s="197"/>
      <c r="H9" s="197"/>
      <c r="I9" s="198">
        <f t="shared" si="0"/>
        <v>0</v>
      </c>
      <c r="J9" s="194" t="s">
        <v>249</v>
      </c>
      <c r="K9" s="195" t="s">
        <v>243</v>
      </c>
      <c r="L9" s="197"/>
      <c r="M9" s="196"/>
      <c r="N9" s="197"/>
      <c r="O9" s="196"/>
      <c r="P9" s="197"/>
      <c r="Q9" s="197"/>
      <c r="R9" s="198">
        <f t="shared" si="1"/>
        <v>0</v>
      </c>
      <c r="S9" s="194" t="s">
        <v>249</v>
      </c>
      <c r="T9" s="195" t="s">
        <v>243</v>
      </c>
      <c r="U9" s="197"/>
      <c r="V9" s="196"/>
      <c r="W9" s="197"/>
      <c r="X9" s="196"/>
      <c r="Y9" s="197"/>
      <c r="Z9" s="197"/>
      <c r="AA9" s="198">
        <f t="shared" si="2"/>
        <v>0</v>
      </c>
    </row>
    <row r="10" spans="1:27">
      <c r="A10" s="199" t="s">
        <v>250</v>
      </c>
      <c r="B10" s="200" t="s">
        <v>243</v>
      </c>
      <c r="C10" s="201"/>
      <c r="D10" s="202"/>
      <c r="E10" s="201"/>
      <c r="F10" s="202"/>
      <c r="G10" s="201"/>
      <c r="H10" s="201">
        <f>G10*0.15</f>
        <v>0</v>
      </c>
      <c r="I10" s="203">
        <f>G10+H10</f>
        <v>0</v>
      </c>
      <c r="J10" s="199" t="s">
        <v>250</v>
      </c>
      <c r="K10" s="200" t="s">
        <v>243</v>
      </c>
      <c r="L10" s="201"/>
      <c r="M10" s="202"/>
      <c r="N10" s="201"/>
      <c r="O10" s="202"/>
      <c r="P10" s="201"/>
      <c r="Q10" s="201">
        <f>P10*0.15</f>
        <v>0</v>
      </c>
      <c r="R10" s="203">
        <f>P10+Q10</f>
        <v>0</v>
      </c>
      <c r="S10" s="199" t="s">
        <v>250</v>
      </c>
      <c r="T10" s="200" t="s">
        <v>243</v>
      </c>
      <c r="U10" s="201"/>
      <c r="V10" s="202"/>
      <c r="W10" s="201"/>
      <c r="X10" s="202"/>
      <c r="Y10" s="201"/>
      <c r="Z10" s="201">
        <f>Y10*0.15</f>
        <v>0</v>
      </c>
      <c r="AA10" s="203">
        <f>Y10+Z10</f>
        <v>0</v>
      </c>
    </row>
    <row r="11" spans="1:27">
      <c r="A11" s="194" t="s">
        <v>251</v>
      </c>
      <c r="B11" s="195"/>
      <c r="C11" s="197"/>
      <c r="D11" s="196"/>
      <c r="E11" s="197"/>
      <c r="F11" s="196"/>
      <c r="G11" s="197">
        <f>SUM(G3:G10)</f>
        <v>4895657</v>
      </c>
      <c r="H11" s="197"/>
      <c r="I11" s="198">
        <f>G11</f>
        <v>4895657</v>
      </c>
      <c r="J11" s="194" t="s">
        <v>251</v>
      </c>
      <c r="K11" s="195"/>
      <c r="L11" s="197"/>
      <c r="M11" s="196"/>
      <c r="N11" s="197"/>
      <c r="O11" s="196"/>
      <c r="P11" s="197">
        <f>SUM(P3:P10)</f>
        <v>4895657</v>
      </c>
      <c r="Q11" s="197"/>
      <c r="R11" s="198">
        <f>P11</f>
        <v>4895657</v>
      </c>
      <c r="S11" s="194" t="s">
        <v>251</v>
      </c>
      <c r="T11" s="195"/>
      <c r="U11" s="197"/>
      <c r="V11" s="196"/>
      <c r="W11" s="197"/>
      <c r="X11" s="196"/>
      <c r="Y11" s="197">
        <f>SUM(Y3:Y10)</f>
        <v>4895657</v>
      </c>
      <c r="Z11" s="197"/>
      <c r="AA11" s="198">
        <f>Y11</f>
        <v>4895657</v>
      </c>
    </row>
    <row r="12" spans="1:27">
      <c r="A12" s="194" t="s">
        <v>252</v>
      </c>
      <c r="B12" s="195"/>
      <c r="C12" s="197"/>
      <c r="D12" s="196"/>
      <c r="E12" s="197"/>
      <c r="F12" s="196"/>
      <c r="G12" s="197"/>
      <c r="H12" s="197">
        <f>SUM(H3:H10)</f>
        <v>830000</v>
      </c>
      <c r="I12" s="203">
        <f>H12</f>
        <v>830000</v>
      </c>
      <c r="J12" s="194" t="s">
        <v>252</v>
      </c>
      <c r="K12" s="195"/>
      <c r="L12" s="197"/>
      <c r="M12" s="196"/>
      <c r="N12" s="197"/>
      <c r="O12" s="196"/>
      <c r="P12" s="197"/>
      <c r="Q12" s="197">
        <f>SUM(Q3:Q10)</f>
        <v>830000</v>
      </c>
      <c r="R12" s="203">
        <f>Q12</f>
        <v>830000</v>
      </c>
      <c r="S12" s="194" t="s">
        <v>252</v>
      </c>
      <c r="T12" s="195"/>
      <c r="U12" s="197"/>
      <c r="V12" s="196"/>
      <c r="W12" s="197"/>
      <c r="X12" s="196"/>
      <c r="Y12" s="197"/>
      <c r="Z12" s="197">
        <f>SUM(Z3:Z10)</f>
        <v>830000</v>
      </c>
      <c r="AA12" s="203">
        <f>Z12</f>
        <v>830000</v>
      </c>
    </row>
    <row r="13" spans="1:27">
      <c r="A13" s="498" t="s">
        <v>253</v>
      </c>
      <c r="B13" s="499"/>
      <c r="C13" s="499"/>
      <c r="D13" s="499"/>
      <c r="E13" s="499"/>
      <c r="F13" s="499"/>
      <c r="G13" s="499"/>
      <c r="H13" s="499"/>
      <c r="I13" s="198">
        <f>SUM(I11:I12)</f>
        <v>5725657</v>
      </c>
      <c r="J13" s="498" t="s">
        <v>253</v>
      </c>
      <c r="K13" s="499"/>
      <c r="L13" s="499"/>
      <c r="M13" s="499"/>
      <c r="N13" s="499"/>
      <c r="O13" s="499"/>
      <c r="P13" s="499"/>
      <c r="Q13" s="499"/>
      <c r="R13" s="198">
        <f>SUM(R11:R12)</f>
        <v>5725657</v>
      </c>
      <c r="S13" s="498" t="s">
        <v>253</v>
      </c>
      <c r="T13" s="499"/>
      <c r="U13" s="499"/>
      <c r="V13" s="499"/>
      <c r="W13" s="499"/>
      <c r="X13" s="499"/>
      <c r="Y13" s="499"/>
      <c r="Z13" s="499"/>
      <c r="AA13" s="198">
        <f>SUM(AA11:AA12)</f>
        <v>5725657</v>
      </c>
    </row>
    <row r="14" spans="1:27">
      <c r="A14" s="498" t="s">
        <v>254</v>
      </c>
      <c r="B14" s="499"/>
      <c r="C14" s="499"/>
      <c r="D14" s="499"/>
      <c r="E14" s="499"/>
      <c r="F14" s="499"/>
      <c r="G14" s="499"/>
      <c r="H14" s="204" t="s">
        <v>255</v>
      </c>
      <c r="I14" s="203">
        <v>260000</v>
      </c>
      <c r="J14" s="498" t="s">
        <v>254</v>
      </c>
      <c r="K14" s="499"/>
      <c r="L14" s="499"/>
      <c r="M14" s="499"/>
      <c r="N14" s="499"/>
      <c r="O14" s="499"/>
      <c r="P14" s="499"/>
      <c r="Q14" s="204" t="s">
        <v>255</v>
      </c>
      <c r="R14" s="203">
        <v>260000</v>
      </c>
      <c r="S14" s="498" t="s">
        <v>254</v>
      </c>
      <c r="T14" s="499"/>
      <c r="U14" s="499"/>
      <c r="V14" s="499"/>
      <c r="W14" s="499"/>
      <c r="X14" s="499"/>
      <c r="Y14" s="499"/>
      <c r="Z14" s="204" t="s">
        <v>255</v>
      </c>
      <c r="AA14" s="203">
        <v>260000</v>
      </c>
    </row>
    <row r="15" spans="1:27">
      <c r="A15" s="498" t="s">
        <v>253</v>
      </c>
      <c r="B15" s="499"/>
      <c r="C15" s="499"/>
      <c r="D15" s="499"/>
      <c r="E15" s="499"/>
      <c r="F15" s="499"/>
      <c r="G15" s="499"/>
      <c r="H15" s="499"/>
      <c r="I15" s="198">
        <f>SUM(I13:I14)</f>
        <v>5985657</v>
      </c>
      <c r="J15" s="498" t="s">
        <v>253</v>
      </c>
      <c r="K15" s="499"/>
      <c r="L15" s="499"/>
      <c r="M15" s="499"/>
      <c r="N15" s="499"/>
      <c r="O15" s="499"/>
      <c r="P15" s="499"/>
      <c r="Q15" s="499"/>
      <c r="R15" s="198">
        <f>SUM(R13:R14)</f>
        <v>5985657</v>
      </c>
      <c r="S15" s="498" t="s">
        <v>253</v>
      </c>
      <c r="T15" s="499"/>
      <c r="U15" s="499"/>
      <c r="V15" s="499"/>
      <c r="W15" s="499"/>
      <c r="X15" s="499"/>
      <c r="Y15" s="499"/>
      <c r="Z15" s="499"/>
      <c r="AA15" s="198">
        <f>SUM(AA13:AA14)</f>
        <v>5985657</v>
      </c>
    </row>
    <row r="16" spans="1:27">
      <c r="A16" s="205" t="s">
        <v>256</v>
      </c>
      <c r="B16" s="227">
        <v>0.23</v>
      </c>
      <c r="C16" s="206"/>
      <c r="D16" s="206"/>
      <c r="E16" s="206"/>
      <c r="F16" s="206"/>
      <c r="G16" s="206"/>
      <c r="H16" s="206"/>
      <c r="I16" s="203">
        <f>I15*B16</f>
        <v>1376701.11</v>
      </c>
      <c r="J16" s="205" t="s">
        <v>256</v>
      </c>
      <c r="K16" s="227">
        <v>0.15</v>
      </c>
      <c r="L16" s="206"/>
      <c r="M16" s="206"/>
      <c r="N16" s="206"/>
      <c r="O16" s="206"/>
      <c r="P16" s="206"/>
      <c r="Q16" s="206"/>
      <c r="R16" s="203">
        <f>R15*K16</f>
        <v>897848.54999999993</v>
      </c>
      <c r="S16" s="205" t="s">
        <v>256</v>
      </c>
      <c r="T16" s="227">
        <v>0.3</v>
      </c>
      <c r="U16" s="206"/>
      <c r="V16" s="206"/>
      <c r="W16" s="206"/>
      <c r="X16" s="206"/>
      <c r="Y16" s="206"/>
      <c r="Z16" s="206"/>
      <c r="AA16" s="203">
        <f>AA15*T16</f>
        <v>1795697.0999999999</v>
      </c>
    </row>
    <row r="17" spans="1:27">
      <c r="A17" s="498"/>
      <c r="B17" s="499"/>
      <c r="C17" s="499"/>
      <c r="D17" s="499"/>
      <c r="E17" s="499"/>
      <c r="F17" s="499"/>
      <c r="G17" s="499"/>
      <c r="H17" s="499"/>
      <c r="I17" s="198">
        <f>SUM(I15:I16)</f>
        <v>7362358.1100000003</v>
      </c>
      <c r="J17" s="498"/>
      <c r="K17" s="499"/>
      <c r="L17" s="499"/>
      <c r="M17" s="499"/>
      <c r="N17" s="499"/>
      <c r="O17" s="499"/>
      <c r="P17" s="499"/>
      <c r="Q17" s="499"/>
      <c r="R17" s="198">
        <f>SUM(R15:R16)</f>
        <v>6883505.5499999998</v>
      </c>
      <c r="S17" s="498"/>
      <c r="T17" s="499"/>
      <c r="U17" s="499"/>
      <c r="V17" s="499"/>
      <c r="W17" s="499"/>
      <c r="X17" s="499"/>
      <c r="Y17" s="499"/>
      <c r="Z17" s="499"/>
      <c r="AA17" s="198">
        <f>SUM(AA15:AA16)</f>
        <v>7781354.0999999996</v>
      </c>
    </row>
    <row r="18" spans="1:27">
      <c r="A18" s="205" t="s">
        <v>257</v>
      </c>
      <c r="B18" s="206"/>
      <c r="C18" s="206"/>
      <c r="D18" s="206"/>
      <c r="E18" s="206"/>
      <c r="F18" s="206"/>
      <c r="G18" s="206"/>
      <c r="H18" s="207">
        <v>0.2</v>
      </c>
      <c r="I18" s="203">
        <f>I17*0.2</f>
        <v>1472471.6220000002</v>
      </c>
      <c r="J18" s="205" t="s">
        <v>257</v>
      </c>
      <c r="K18" s="206"/>
      <c r="L18" s="206"/>
      <c r="M18" s="206"/>
      <c r="N18" s="206"/>
      <c r="O18" s="206"/>
      <c r="P18" s="206"/>
      <c r="Q18" s="207">
        <v>0.2</v>
      </c>
      <c r="R18" s="203">
        <f>R17*0.2</f>
        <v>1376701.11</v>
      </c>
      <c r="S18" s="205" t="s">
        <v>257</v>
      </c>
      <c r="T18" s="206"/>
      <c r="U18" s="206"/>
      <c r="V18" s="206"/>
      <c r="W18" s="206"/>
      <c r="X18" s="206"/>
      <c r="Y18" s="206"/>
      <c r="Z18" s="207">
        <v>0.2</v>
      </c>
      <c r="AA18" s="203">
        <f>AA17*0.2</f>
        <v>1556270.82</v>
      </c>
    </row>
    <row r="19" spans="1:27" ht="12" thickBot="1">
      <c r="A19" s="492" t="s">
        <v>34</v>
      </c>
      <c r="B19" s="493"/>
      <c r="C19" s="493"/>
      <c r="D19" s="493"/>
      <c r="E19" s="493"/>
      <c r="F19" s="493"/>
      <c r="G19" s="493"/>
      <c r="H19" s="493"/>
      <c r="I19" s="208">
        <f>SUM(I17:I18)</f>
        <v>8834829.7320000008</v>
      </c>
      <c r="J19" s="492" t="s">
        <v>34</v>
      </c>
      <c r="K19" s="493"/>
      <c r="L19" s="493"/>
      <c r="M19" s="493"/>
      <c r="N19" s="493"/>
      <c r="O19" s="493"/>
      <c r="P19" s="493"/>
      <c r="Q19" s="493"/>
      <c r="R19" s="208">
        <f>SUM(R17:R18)</f>
        <v>8260206.6600000001</v>
      </c>
      <c r="S19" s="492" t="s">
        <v>34</v>
      </c>
      <c r="T19" s="493"/>
      <c r="U19" s="493"/>
      <c r="V19" s="493"/>
      <c r="W19" s="493"/>
      <c r="X19" s="493"/>
      <c r="Y19" s="493"/>
      <c r="Z19" s="493"/>
      <c r="AA19" s="208">
        <f>SUM(AA17:AA18)</f>
        <v>9337624.9199999999</v>
      </c>
    </row>
    <row r="20" spans="1:27" ht="6" customHeight="1" thickTop="1" thickBot="1">
      <c r="A20" s="209"/>
      <c r="B20" s="210"/>
      <c r="C20" s="211"/>
      <c r="D20" s="211"/>
      <c r="E20" s="211"/>
      <c r="F20" s="211"/>
      <c r="G20" s="211"/>
      <c r="H20" s="211"/>
      <c r="I20" s="212"/>
      <c r="J20" s="209"/>
      <c r="K20" s="210"/>
      <c r="L20" s="211"/>
      <c r="M20" s="211"/>
      <c r="N20" s="211"/>
      <c r="O20" s="211"/>
      <c r="P20" s="211"/>
      <c r="Q20" s="211"/>
      <c r="R20" s="212"/>
      <c r="S20" s="209"/>
      <c r="T20" s="210"/>
      <c r="U20" s="211"/>
      <c r="V20" s="211"/>
      <c r="W20" s="211"/>
      <c r="X20" s="211"/>
      <c r="Y20" s="211"/>
      <c r="Z20" s="211"/>
      <c r="AA20" s="212"/>
    </row>
    <row r="21" spans="1:27" ht="12" thickBot="1"/>
    <row r="22" spans="1:27" s="216" customFormat="1" ht="37" thickBot="1">
      <c r="A22" s="213"/>
      <c r="B22" s="225" t="s">
        <v>261</v>
      </c>
      <c r="C22" s="214" t="s">
        <v>262</v>
      </c>
      <c r="D22" s="215" t="s">
        <v>263</v>
      </c>
      <c r="E22" s="214" t="s">
        <v>264</v>
      </c>
      <c r="F22" s="226"/>
    </row>
    <row r="23" spans="1:27">
      <c r="A23" s="217" t="s">
        <v>258</v>
      </c>
      <c r="B23" s="218">
        <f>I19</f>
        <v>8834829.7320000008</v>
      </c>
      <c r="C23" s="219"/>
      <c r="D23" s="220">
        <v>713912</v>
      </c>
      <c r="E23" s="219"/>
    </row>
    <row r="24" spans="1:27">
      <c r="A24" s="217" t="s">
        <v>259</v>
      </c>
      <c r="B24" s="218">
        <f>R19</f>
        <v>8260206.6600000001</v>
      </c>
      <c r="C24" s="219">
        <f>B24-B23</f>
        <v>-574623.07200000063</v>
      </c>
      <c r="D24" s="220">
        <f>D23/B23*B24</f>
        <v>667478.6991869919</v>
      </c>
      <c r="E24" s="219">
        <f>D24-D23</f>
        <v>-46433.3008130081</v>
      </c>
    </row>
    <row r="25" spans="1:27" ht="12" thickBot="1">
      <c r="A25" s="221" t="s">
        <v>260</v>
      </c>
      <c r="B25" s="222">
        <f>AA19</f>
        <v>9337624.9199999999</v>
      </c>
      <c r="C25" s="223">
        <f>B25-B23</f>
        <v>502795.18799999915</v>
      </c>
      <c r="D25" s="224">
        <f>D23/B23*B25</f>
        <v>754541.13821138209</v>
      </c>
      <c r="E25" s="223">
        <f>D25-D23</f>
        <v>40629.138211382087</v>
      </c>
    </row>
  </sheetData>
  <mergeCells count="21">
    <mergeCell ref="S19:Z19"/>
    <mergeCell ref="S1:AA1"/>
    <mergeCell ref="T5:X6"/>
    <mergeCell ref="S13:Z13"/>
    <mergeCell ref="S14:Y14"/>
    <mergeCell ref="S15:Z15"/>
    <mergeCell ref="S17:Z17"/>
    <mergeCell ref="A19:H19"/>
    <mergeCell ref="J1:R1"/>
    <mergeCell ref="K5:O6"/>
    <mergeCell ref="J13:Q13"/>
    <mergeCell ref="J14:P14"/>
    <mergeCell ref="J15:Q15"/>
    <mergeCell ref="J17:Q17"/>
    <mergeCell ref="J19:Q19"/>
    <mergeCell ref="A1:I1"/>
    <mergeCell ref="B5:F6"/>
    <mergeCell ref="A13:H13"/>
    <mergeCell ref="A14:G14"/>
    <mergeCell ref="A15:H15"/>
    <mergeCell ref="A17:H17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ignoredErrors>
    <ignoredError sqref="D24:D25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1042-4D38-487D-A978-9223225EB599}">
  <dimension ref="A1:J26"/>
  <sheetViews>
    <sheetView topLeftCell="A3" workbookViewId="0">
      <selection activeCell="E13" sqref="A4:E13"/>
    </sheetView>
  </sheetViews>
  <sheetFormatPr baseColWidth="10" defaultColWidth="9.1640625" defaultRowHeight="15"/>
  <cols>
    <col min="1" max="1" width="23.1640625" style="149" customWidth="1"/>
    <col min="2" max="2" width="14" style="149" customWidth="1"/>
    <col min="3" max="3" width="13.1640625" style="149" customWidth="1"/>
    <col min="4" max="4" width="11" style="149" customWidth="1"/>
    <col min="5" max="5" width="11.33203125" style="149" customWidth="1"/>
    <col min="6" max="6" width="9.1640625" style="149"/>
    <col min="7" max="10" width="9.1640625" style="234"/>
    <col min="11" max="16384" width="9.1640625" style="149"/>
  </cols>
  <sheetData>
    <row r="1" spans="1:10" ht="11.25" customHeight="1">
      <c r="A1" s="183" t="s">
        <v>265</v>
      </c>
      <c r="G1" s="239" t="s">
        <v>274</v>
      </c>
      <c r="H1" s="240" t="s">
        <v>275</v>
      </c>
      <c r="I1" s="240" t="s">
        <v>276</v>
      </c>
      <c r="J1" s="241" t="s">
        <v>277</v>
      </c>
    </row>
    <row r="2" spans="1:10" ht="24">
      <c r="A2" s="188" t="s">
        <v>266</v>
      </c>
      <c r="G2" s="242" t="s">
        <v>278</v>
      </c>
      <c r="H2" s="243">
        <v>22254</v>
      </c>
      <c r="I2" s="243">
        <v>21327</v>
      </c>
      <c r="J2" s="244">
        <v>19472</v>
      </c>
    </row>
    <row r="3" spans="1:10" ht="9" customHeight="1" thickBot="1">
      <c r="G3" s="242" t="s">
        <v>279</v>
      </c>
      <c r="H3" s="243">
        <v>23901</v>
      </c>
      <c r="I3" s="243">
        <v>22905</v>
      </c>
      <c r="J3" s="244">
        <v>20913</v>
      </c>
    </row>
    <row r="4" spans="1:10" ht="66" thickBot="1">
      <c r="A4" s="170"/>
      <c r="B4" s="238" t="s">
        <v>272</v>
      </c>
      <c r="C4" s="238" t="s">
        <v>304</v>
      </c>
      <c r="D4" s="238" t="s">
        <v>303</v>
      </c>
      <c r="E4" s="238" t="s">
        <v>305</v>
      </c>
      <c r="G4" s="242" t="s">
        <v>280</v>
      </c>
      <c r="H4" s="243">
        <v>24395</v>
      </c>
      <c r="I4" s="243">
        <v>23378</v>
      </c>
      <c r="J4" s="244">
        <v>21346</v>
      </c>
    </row>
    <row r="5" spans="1:10" ht="24">
      <c r="A5" s="176" t="s">
        <v>211</v>
      </c>
      <c r="B5" s="233">
        <v>18.386699999999998</v>
      </c>
      <c r="C5" s="233">
        <v>24.681125825524965</v>
      </c>
      <c r="D5" s="233">
        <f>(H5-I5)/1000</f>
        <v>1.089</v>
      </c>
      <c r="E5" s="233">
        <f t="shared" ref="E5:E11" si="0">B5*D5*1.265</f>
        <v>25.329242119499995</v>
      </c>
      <c r="G5" s="242" t="s">
        <v>281</v>
      </c>
      <c r="H5" s="243">
        <v>26132</v>
      </c>
      <c r="I5" s="243">
        <v>25043</v>
      </c>
      <c r="J5" s="244">
        <v>22865</v>
      </c>
    </row>
    <row r="6" spans="1:10" ht="24">
      <c r="A6" s="177" t="s">
        <v>212</v>
      </c>
      <c r="B6" s="228">
        <v>24.643333333333334</v>
      </c>
      <c r="C6" s="228">
        <v>38.133220961086039</v>
      </c>
      <c r="D6" s="228">
        <f>(H12-I12)/1000</f>
        <v>1.7090000000000001</v>
      </c>
      <c r="E6" s="228">
        <f t="shared" si="0"/>
        <v>53.27605268333334</v>
      </c>
      <c r="G6" s="242" t="s">
        <v>282</v>
      </c>
      <c r="H6" s="243">
        <v>27059</v>
      </c>
      <c r="I6" s="243">
        <v>25931</v>
      </c>
      <c r="J6" s="244">
        <v>23676</v>
      </c>
    </row>
    <row r="7" spans="1:10" ht="24">
      <c r="A7" s="177" t="s">
        <v>683</v>
      </c>
      <c r="B7" s="228">
        <v>26.997781725291741</v>
      </c>
      <c r="C7" s="228">
        <v>108.86087002347723</v>
      </c>
      <c r="D7" s="228">
        <f>(H25-I25)/1000</f>
        <v>4.6870000000000003</v>
      </c>
      <c r="E7" s="228">
        <v>0</v>
      </c>
      <c r="G7" s="242" t="s">
        <v>283</v>
      </c>
      <c r="H7" s="243">
        <v>29858</v>
      </c>
      <c r="I7" s="243">
        <v>28614</v>
      </c>
      <c r="J7" s="244">
        <v>26126</v>
      </c>
    </row>
    <row r="8" spans="1:10" ht="24">
      <c r="A8" s="177" t="s">
        <v>213</v>
      </c>
      <c r="B8" s="228">
        <v>3.5</v>
      </c>
      <c r="C8" s="228">
        <v>61.94533709768492</v>
      </c>
      <c r="D8" s="228">
        <f>(H18-I18)/1000</f>
        <v>2.6619999999999999</v>
      </c>
      <c r="E8" s="228">
        <f t="shared" si="0"/>
        <v>11.786004999999999</v>
      </c>
      <c r="G8" s="242" t="s">
        <v>284</v>
      </c>
      <c r="H8" s="243">
        <v>30785</v>
      </c>
      <c r="I8" s="243">
        <v>29502</v>
      </c>
      <c r="J8" s="244">
        <v>26937</v>
      </c>
    </row>
    <row r="9" spans="1:10" ht="24">
      <c r="A9" s="177" t="s">
        <v>684</v>
      </c>
      <c r="B9" s="228">
        <v>27.475796747967479</v>
      </c>
      <c r="C9" s="228">
        <v>54.915886779569725</v>
      </c>
      <c r="D9" s="228">
        <f>(H17-I17)/1000</f>
        <v>2.3570000000000002</v>
      </c>
      <c r="E9" s="228">
        <v>0</v>
      </c>
      <c r="G9" s="242" t="s">
        <v>285</v>
      </c>
      <c r="H9" s="243">
        <v>33335</v>
      </c>
      <c r="I9" s="243">
        <v>31946</v>
      </c>
      <c r="J9" s="244">
        <v>29168</v>
      </c>
    </row>
    <row r="10" spans="1:10" ht="24">
      <c r="A10" s="177" t="s">
        <v>215</v>
      </c>
      <c r="B10" s="228">
        <v>233.29942390460999</v>
      </c>
      <c r="C10" s="228">
        <v>35.079898831551311</v>
      </c>
      <c r="D10" s="228">
        <f>(H10-I10)/1000</f>
        <v>1.577</v>
      </c>
      <c r="E10" s="228">
        <f t="shared" si="0"/>
        <v>465.41018724442591</v>
      </c>
      <c r="G10" s="242" t="s">
        <v>286</v>
      </c>
      <c r="H10" s="243">
        <v>37840</v>
      </c>
      <c r="I10" s="243">
        <v>36263</v>
      </c>
      <c r="J10" s="244">
        <v>33110</v>
      </c>
    </row>
    <row r="11" spans="1:10" ht="25" thickBot="1">
      <c r="A11" s="178" t="s">
        <v>216</v>
      </c>
      <c r="B11" s="232">
        <v>2.2149999999999999</v>
      </c>
      <c r="C11" s="232">
        <v>50.27128007922984</v>
      </c>
      <c r="D11" s="232">
        <f>(H16-I16)/1000</f>
        <v>2.2919999999999998</v>
      </c>
      <c r="E11" s="232">
        <f t="shared" si="0"/>
        <v>6.4221266999999989</v>
      </c>
      <c r="G11" s="242" t="s">
        <v>287</v>
      </c>
      <c r="H11" s="243">
        <v>38767</v>
      </c>
      <c r="I11" s="243">
        <v>37152</v>
      </c>
      <c r="J11" s="244">
        <v>33921</v>
      </c>
    </row>
    <row r="12" spans="1:10" ht="25" thickBot="1">
      <c r="A12" s="231" t="s">
        <v>34</v>
      </c>
      <c r="B12" s="229">
        <f>SUM(B5:B11)</f>
        <v>336.51803571120251</v>
      </c>
      <c r="C12" s="229"/>
      <c r="D12" s="229"/>
      <c r="E12" s="229">
        <f>SUM(E5:E11)</f>
        <v>562.22361374725926</v>
      </c>
      <c r="G12" s="242" t="s">
        <v>288</v>
      </c>
      <c r="H12" s="243">
        <v>41006</v>
      </c>
      <c r="I12" s="243">
        <v>39297</v>
      </c>
      <c r="J12" s="244">
        <v>35880</v>
      </c>
    </row>
    <row r="13" spans="1:10" ht="16.5" customHeight="1">
      <c r="A13" s="172" t="s">
        <v>700</v>
      </c>
      <c r="G13" s="242" t="s">
        <v>289</v>
      </c>
      <c r="H13" s="243">
        <v>46832</v>
      </c>
      <c r="I13" s="243">
        <v>44881</v>
      </c>
      <c r="J13" s="244">
        <v>40978</v>
      </c>
    </row>
    <row r="14" spans="1:10" ht="24">
      <c r="B14" s="428"/>
      <c r="C14" s="428"/>
      <c r="D14" s="428"/>
      <c r="E14" s="428"/>
      <c r="G14" s="242" t="s">
        <v>290</v>
      </c>
      <c r="H14" s="243">
        <v>48068</v>
      </c>
      <c r="I14" s="243">
        <v>46065</v>
      </c>
      <c r="J14" s="244">
        <v>42060</v>
      </c>
    </row>
    <row r="15" spans="1:10" ht="24">
      <c r="B15" s="429">
        <f>B12-B9-B7</f>
        <v>282.04445723794328</v>
      </c>
      <c r="C15" s="428"/>
      <c r="D15" s="428"/>
      <c r="E15" s="428">
        <f>E12/B15</f>
        <v>1.993386501025781</v>
      </c>
      <c r="G15" s="242" t="s">
        <v>291</v>
      </c>
      <c r="H15" s="243">
        <v>50545</v>
      </c>
      <c r="I15" s="243">
        <v>48439</v>
      </c>
      <c r="J15" s="244">
        <v>44227</v>
      </c>
    </row>
    <row r="16" spans="1:10" ht="24">
      <c r="B16" s="428"/>
      <c r="C16" s="428"/>
      <c r="D16" s="428"/>
      <c r="E16" s="428">
        <f>E15*(B12*0.1)</f>
        <v>67.081050973842281</v>
      </c>
      <c r="G16" s="242" t="s">
        <v>292</v>
      </c>
      <c r="H16" s="243">
        <v>55006</v>
      </c>
      <c r="I16" s="243">
        <v>52714</v>
      </c>
      <c r="J16" s="244">
        <v>48130</v>
      </c>
    </row>
    <row r="17" spans="2:10" ht="24">
      <c r="B17" s="428"/>
      <c r="C17" s="428"/>
      <c r="D17" s="428"/>
      <c r="E17" s="428"/>
      <c r="G17" s="242" t="s">
        <v>293</v>
      </c>
      <c r="H17" s="243">
        <v>56551</v>
      </c>
      <c r="I17" s="243">
        <v>54194</v>
      </c>
      <c r="J17" s="244">
        <v>49482</v>
      </c>
    </row>
    <row r="18" spans="2:10" ht="36">
      <c r="G18" s="242" t="s">
        <v>294</v>
      </c>
      <c r="H18" s="243">
        <v>63886</v>
      </c>
      <c r="I18" s="243">
        <v>61224</v>
      </c>
      <c r="J18" s="244">
        <v>55901</v>
      </c>
    </row>
    <row r="19" spans="2:10" ht="24">
      <c r="G19" s="242" t="s">
        <v>295</v>
      </c>
      <c r="H19" s="243">
        <v>65716</v>
      </c>
      <c r="I19" s="243">
        <v>62977</v>
      </c>
      <c r="J19" s="244">
        <v>57501</v>
      </c>
    </row>
    <row r="20" spans="2:10" ht="36">
      <c r="G20" s="242" t="s">
        <v>296</v>
      </c>
      <c r="H20" s="243">
        <v>76633</v>
      </c>
      <c r="I20" s="243">
        <v>73440</v>
      </c>
      <c r="J20" s="244">
        <v>67054</v>
      </c>
    </row>
    <row r="21" spans="2:10" ht="24">
      <c r="G21" s="242" t="s">
        <v>297</v>
      </c>
      <c r="H21" s="243">
        <v>78796</v>
      </c>
      <c r="I21" s="243">
        <v>75513</v>
      </c>
      <c r="J21" s="244">
        <v>68947</v>
      </c>
    </row>
    <row r="22" spans="2:10" ht="36">
      <c r="G22" s="242" t="s">
        <v>298</v>
      </c>
      <c r="H22" s="243">
        <v>91049</v>
      </c>
      <c r="I22" s="243">
        <v>87255</v>
      </c>
      <c r="J22" s="244">
        <v>79668</v>
      </c>
    </row>
    <row r="23" spans="2:10" ht="24">
      <c r="G23" s="242" t="s">
        <v>299</v>
      </c>
      <c r="H23" s="243">
        <v>93830</v>
      </c>
      <c r="I23" s="243">
        <v>89920</v>
      </c>
      <c r="J23" s="244">
        <v>82101</v>
      </c>
    </row>
    <row r="24" spans="2:10" ht="36">
      <c r="G24" s="242" t="s">
        <v>300</v>
      </c>
      <c r="H24" s="243">
        <v>108464</v>
      </c>
      <c r="I24" s="243">
        <v>103945</v>
      </c>
      <c r="J24" s="244">
        <v>94906</v>
      </c>
    </row>
    <row r="25" spans="2:10" ht="24">
      <c r="G25" s="242" t="s">
        <v>301</v>
      </c>
      <c r="H25" s="243">
        <v>112481</v>
      </c>
      <c r="I25" s="243">
        <v>107794</v>
      </c>
      <c r="J25" s="244">
        <v>98421</v>
      </c>
    </row>
    <row r="26" spans="2:10" ht="25" thickBot="1">
      <c r="G26" s="245" t="s">
        <v>302</v>
      </c>
      <c r="H26" s="246">
        <v>129690</v>
      </c>
      <c r="I26" s="246">
        <v>124286</v>
      </c>
      <c r="J26" s="247">
        <v>113479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9"/>
  <sheetViews>
    <sheetView workbookViewId="0">
      <selection activeCell="A9" sqref="A9"/>
    </sheetView>
  </sheetViews>
  <sheetFormatPr baseColWidth="10" defaultColWidth="9.1640625" defaultRowHeight="15"/>
  <cols>
    <col min="1" max="1" width="38.83203125" style="149" customWidth="1"/>
    <col min="2" max="2" width="12.83203125" style="149" customWidth="1"/>
    <col min="3" max="3" width="11.6640625" style="149" customWidth="1"/>
    <col min="4" max="7" width="9.33203125" style="149" bestFit="1" customWidth="1"/>
    <col min="8" max="9" width="10" style="149" bestFit="1" customWidth="1"/>
    <col min="10" max="16384" width="9.1640625" style="149"/>
  </cols>
  <sheetData>
    <row r="1" spans="1:9">
      <c r="A1" s="183" t="s">
        <v>322</v>
      </c>
    </row>
    <row r="2" spans="1:9" ht="16" thickBot="1"/>
    <row r="3" spans="1:9" ht="76" thickBot="1">
      <c r="A3" s="148"/>
      <c r="B3" s="148"/>
      <c r="C3" s="271" t="s">
        <v>324</v>
      </c>
      <c r="D3" s="500" t="s">
        <v>327</v>
      </c>
      <c r="E3" s="501"/>
      <c r="F3" s="501"/>
      <c r="G3" s="501"/>
      <c r="H3" s="501"/>
      <c r="I3" s="502"/>
    </row>
    <row r="4" spans="1:9" ht="16" thickBot="1">
      <c r="A4" s="235" t="s">
        <v>326</v>
      </c>
      <c r="B4" s="266"/>
      <c r="C4" s="263">
        <v>2.2999999999999998</v>
      </c>
      <c r="D4" s="264">
        <v>2.5</v>
      </c>
      <c r="E4" s="264">
        <v>2.7</v>
      </c>
      <c r="F4" s="264">
        <v>2.9</v>
      </c>
      <c r="G4" s="264">
        <v>3.1</v>
      </c>
      <c r="H4" s="264">
        <v>3.3</v>
      </c>
      <c r="I4" s="265">
        <v>3.5</v>
      </c>
    </row>
    <row r="5" spans="1:9" ht="16" thickBot="1">
      <c r="A5" s="262" t="s">
        <v>323</v>
      </c>
      <c r="B5" s="259">
        <f>'7a. Income and Activity'!C6</f>
        <v>4226.3999999999996</v>
      </c>
      <c r="C5" s="260">
        <f>B5*C4</f>
        <v>9720.7199999999975</v>
      </c>
      <c r="D5" s="154">
        <f t="shared" ref="D5:I5" si="0">$B$5*D4</f>
        <v>10566</v>
      </c>
      <c r="E5" s="154">
        <f t="shared" si="0"/>
        <v>11411.28</v>
      </c>
      <c r="F5" s="154">
        <f t="shared" si="0"/>
        <v>12256.559999999998</v>
      </c>
      <c r="G5" s="154">
        <f t="shared" si="0"/>
        <v>13101.84</v>
      </c>
      <c r="H5" s="154">
        <f t="shared" si="0"/>
        <v>13947.119999999997</v>
      </c>
      <c r="I5" s="267">
        <f t="shared" si="0"/>
        <v>14792.399999999998</v>
      </c>
    </row>
    <row r="6" spans="1:9" ht="16" thickBot="1">
      <c r="A6" s="236" t="s">
        <v>325</v>
      </c>
      <c r="B6" s="148"/>
      <c r="C6" s="261"/>
      <c r="D6" s="154">
        <f t="shared" ref="D6:I6" si="1">D5-$C$5</f>
        <v>845.28000000000247</v>
      </c>
      <c r="E6" s="154">
        <f t="shared" si="1"/>
        <v>1690.5600000000031</v>
      </c>
      <c r="F6" s="154">
        <f t="shared" si="1"/>
        <v>2535.84</v>
      </c>
      <c r="G6" s="154">
        <f t="shared" si="1"/>
        <v>3381.1200000000026</v>
      </c>
      <c r="H6" s="154">
        <f t="shared" si="1"/>
        <v>4226.3999999999996</v>
      </c>
      <c r="I6" s="267">
        <f t="shared" si="1"/>
        <v>5071.68</v>
      </c>
    </row>
    <row r="7" spans="1:9" ht="16" thickBot="1">
      <c r="A7" s="237" t="s">
        <v>686</v>
      </c>
      <c r="B7" s="264"/>
      <c r="C7" s="268"/>
      <c r="D7" s="269">
        <f t="shared" ref="D7:I7" si="2">D6*0.257</f>
        <v>217.23696000000064</v>
      </c>
      <c r="E7" s="269">
        <f t="shared" si="2"/>
        <v>434.47392000000082</v>
      </c>
      <c r="F7" s="269">
        <f t="shared" si="2"/>
        <v>651.71088000000009</v>
      </c>
      <c r="G7" s="269">
        <f t="shared" si="2"/>
        <v>868.94784000000072</v>
      </c>
      <c r="H7" s="269">
        <f t="shared" si="2"/>
        <v>1086.1848</v>
      </c>
      <c r="I7" s="270">
        <f t="shared" si="2"/>
        <v>1303.4217600000002</v>
      </c>
    </row>
    <row r="8" spans="1:9" ht="6.75" customHeight="1">
      <c r="A8" s="148"/>
      <c r="B8" s="148"/>
      <c r="C8" s="148"/>
      <c r="D8" s="148"/>
      <c r="E8" s="148"/>
      <c r="F8" s="148"/>
      <c r="G8" s="148"/>
      <c r="H8" s="148"/>
      <c r="I8" s="148"/>
    </row>
    <row r="9" spans="1:9">
      <c r="A9" s="148" t="s">
        <v>687</v>
      </c>
    </row>
  </sheetData>
  <mergeCells count="1">
    <mergeCell ref="D3:I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2"/>
  <sheetViews>
    <sheetView workbookViewId="0">
      <selection activeCell="E19" sqref="E19"/>
    </sheetView>
  </sheetViews>
  <sheetFormatPr baseColWidth="10" defaultColWidth="9.1640625" defaultRowHeight="14"/>
  <cols>
    <col min="1" max="1" width="33.1640625" style="148" bestFit="1" customWidth="1"/>
    <col min="2" max="2" width="9.1640625" style="148"/>
    <col min="3" max="3" width="19.5" style="148" bestFit="1" customWidth="1"/>
    <col min="4" max="4" width="14.5" style="148" bestFit="1" customWidth="1"/>
    <col min="5" max="5" width="17.83203125" style="148" customWidth="1"/>
    <col min="6" max="7" width="12.5" style="148" customWidth="1"/>
    <col min="8" max="8" width="14.33203125" style="148" customWidth="1"/>
    <col min="9" max="9" width="11.6640625" style="148" customWidth="1"/>
    <col min="10" max="16384" width="9.1640625" style="148"/>
  </cols>
  <sheetData>
    <row r="1" spans="1:9">
      <c r="A1" s="153" t="s">
        <v>315</v>
      </c>
    </row>
    <row r="2" spans="1:9" s="152" customFormat="1" ht="60">
      <c r="E2" s="155" t="s">
        <v>316</v>
      </c>
      <c r="F2" s="155" t="s">
        <v>317</v>
      </c>
      <c r="G2" s="155" t="s">
        <v>320</v>
      </c>
      <c r="H2" s="155" t="s">
        <v>318</v>
      </c>
      <c r="I2" s="155" t="s">
        <v>321</v>
      </c>
    </row>
    <row r="3" spans="1:9" ht="15" thickBot="1">
      <c r="A3" s="156" t="s">
        <v>306</v>
      </c>
      <c r="B3" s="252">
        <v>2</v>
      </c>
      <c r="C3" s="156" t="s">
        <v>307</v>
      </c>
      <c r="D3" s="156" t="s">
        <v>308</v>
      </c>
      <c r="E3" s="154">
        <f>'7a. Income and Activity'!C6</f>
        <v>4226.3999999999996</v>
      </c>
      <c r="F3" s="154">
        <f>E3/(4/5*2)</f>
        <v>2641.4999999999995</v>
      </c>
      <c r="G3" s="154">
        <f>F3-(E3/2)</f>
        <v>528.29999999999973</v>
      </c>
      <c r="H3" s="154">
        <f>G3*3.212</f>
        <v>1696.8995999999993</v>
      </c>
    </row>
    <row r="4" spans="1:9" ht="15" thickBot="1">
      <c r="A4" s="157" t="s">
        <v>309</v>
      </c>
      <c r="B4" s="253">
        <v>4</v>
      </c>
      <c r="C4" s="157" t="s">
        <v>307</v>
      </c>
      <c r="D4" s="157" t="s">
        <v>308</v>
      </c>
      <c r="E4" s="154">
        <f>'7a. Income and Activity'!C5</f>
        <v>1568.6000000000001</v>
      </c>
      <c r="F4" s="154">
        <f>E4/(4/5*4)</f>
        <v>490.1875</v>
      </c>
      <c r="G4" s="154">
        <f>F4-(E4/4)</f>
        <v>98.037499999999966</v>
      </c>
      <c r="H4" s="154">
        <f>G4*3.212</f>
        <v>314.8964499999999</v>
      </c>
      <c r="I4" s="259">
        <f>SUM(H3:H4)</f>
        <v>2011.7960499999992</v>
      </c>
    </row>
    <row r="5" spans="1:9">
      <c r="A5" s="255" t="s">
        <v>310</v>
      </c>
      <c r="B5" s="256">
        <v>2</v>
      </c>
      <c r="C5" s="255" t="s">
        <v>311</v>
      </c>
      <c r="D5" s="255" t="s">
        <v>308</v>
      </c>
      <c r="E5" s="503" t="s">
        <v>319</v>
      </c>
      <c r="F5" s="503"/>
      <c r="G5" s="503"/>
      <c r="H5" s="503"/>
    </row>
    <row r="6" spans="1:9">
      <c r="A6" s="257" t="s">
        <v>312</v>
      </c>
      <c r="B6" s="258">
        <v>4</v>
      </c>
      <c r="C6" s="257" t="s">
        <v>311</v>
      </c>
      <c r="D6" s="257" t="s">
        <v>308</v>
      </c>
      <c r="E6" s="503"/>
      <c r="F6" s="503"/>
      <c r="G6" s="503"/>
      <c r="H6" s="503"/>
    </row>
    <row r="7" spans="1:9" ht="15" thickBot="1">
      <c r="A7" s="148" t="s">
        <v>313</v>
      </c>
      <c r="B7" s="254">
        <v>1.75</v>
      </c>
      <c r="C7" s="148" t="s">
        <v>311</v>
      </c>
      <c r="D7" s="148" t="s">
        <v>308</v>
      </c>
      <c r="E7" s="154">
        <f>E3</f>
        <v>4226.3999999999996</v>
      </c>
      <c r="F7" s="154">
        <f>E7/1.75</f>
        <v>2415.0857142857139</v>
      </c>
      <c r="G7" s="154">
        <f>F7-(E7/2)</f>
        <v>301.88571428571413</v>
      </c>
      <c r="H7" s="154">
        <f>G7*3.212</f>
        <v>969.65691428571381</v>
      </c>
    </row>
    <row r="8" spans="1:9" ht="15" thickBot="1">
      <c r="A8" s="157" t="s">
        <v>314</v>
      </c>
      <c r="B8" s="253">
        <v>3.5</v>
      </c>
      <c r="C8" s="157" t="s">
        <v>311</v>
      </c>
      <c r="D8" s="157" t="s">
        <v>308</v>
      </c>
      <c r="E8" s="154">
        <f>E4</f>
        <v>1568.6000000000001</v>
      </c>
      <c r="F8" s="154">
        <f>E8/3.5</f>
        <v>448.17142857142863</v>
      </c>
      <c r="G8" s="154">
        <f>F8-(E8/4)</f>
        <v>56.021428571428601</v>
      </c>
      <c r="H8" s="154">
        <f>G8*3.212</f>
        <v>179.94082857142868</v>
      </c>
      <c r="I8" s="259">
        <f>SUM(H7:H8)</f>
        <v>1149.5977428571425</v>
      </c>
    </row>
    <row r="11" spans="1:9">
      <c r="G11" s="154"/>
    </row>
    <row r="12" spans="1:9">
      <c r="G12" s="154"/>
    </row>
  </sheetData>
  <mergeCells count="1">
    <mergeCell ref="E5:H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3"/>
  <sheetViews>
    <sheetView zoomScale="110" zoomScaleNormal="110" workbookViewId="0">
      <selection activeCell="D17" sqref="D17"/>
    </sheetView>
  </sheetViews>
  <sheetFormatPr baseColWidth="10" defaultColWidth="9.1640625" defaultRowHeight="12"/>
  <cols>
    <col min="1" max="1" width="20.83203125" style="172" customWidth="1"/>
    <col min="2" max="2" width="13.83203125" style="172" customWidth="1"/>
    <col min="3" max="3" width="13.33203125" style="172" customWidth="1"/>
    <col min="4" max="4" width="12" style="172" customWidth="1"/>
    <col min="5" max="8" width="15.6640625" style="172" customWidth="1"/>
    <col min="9" max="16384" width="9.1640625" style="172"/>
  </cols>
  <sheetData>
    <row r="1" spans="1:8" ht="13" thickBot="1"/>
    <row r="2" spans="1:8" s="170" customFormat="1" ht="53" thickBot="1">
      <c r="B2" s="238" t="s">
        <v>723</v>
      </c>
      <c r="C2" s="238" t="s">
        <v>716</v>
      </c>
      <c r="D2" s="238" t="s">
        <v>273</v>
      </c>
      <c r="E2" s="473" t="s">
        <v>717</v>
      </c>
      <c r="F2" s="473" t="s">
        <v>718</v>
      </c>
      <c r="G2" s="473" t="s">
        <v>719</v>
      </c>
      <c r="H2" s="473" t="s">
        <v>720</v>
      </c>
    </row>
    <row r="3" spans="1:8">
      <c r="A3" s="176" t="s">
        <v>269</v>
      </c>
      <c r="B3" s="233">
        <v>8.2672000000000008</v>
      </c>
      <c r="C3" s="233">
        <f>B3*1.26</f>
        <v>10.416672000000002</v>
      </c>
      <c r="D3" s="233">
        <v>12.49</v>
      </c>
      <c r="E3" s="233">
        <f t="shared" ref="E3:E9" si="0">C3*D3*0.05</f>
        <v>6.5052116640000008</v>
      </c>
      <c r="F3" s="233">
        <f t="shared" ref="F3:F9" si="1">E3*2</f>
        <v>13.010423328000002</v>
      </c>
      <c r="G3" s="233">
        <f t="shared" ref="G3:G9" si="2">E3*3</f>
        <v>19.515634992000003</v>
      </c>
      <c r="H3" s="233">
        <f t="shared" ref="H3:H9" si="3">E3*4</f>
        <v>26.020846656000003</v>
      </c>
    </row>
    <row r="4" spans="1:8">
      <c r="A4" s="177" t="s">
        <v>212</v>
      </c>
      <c r="B4" s="228">
        <f>VLOOKUP(A4,[2]Sheet1!$A:$B,2,0)</f>
        <v>9.2033333333333331</v>
      </c>
      <c r="C4" s="228">
        <f t="shared" ref="C4:C9" si="4">B4*1.26</f>
        <v>11.5962</v>
      </c>
      <c r="D4" s="228">
        <v>19.3</v>
      </c>
      <c r="E4" s="228">
        <f t="shared" si="0"/>
        <v>11.190333000000001</v>
      </c>
      <c r="F4" s="228">
        <f t="shared" si="1"/>
        <v>22.380666000000002</v>
      </c>
      <c r="G4" s="228">
        <f t="shared" si="2"/>
        <v>33.570999</v>
      </c>
      <c r="H4" s="228">
        <f t="shared" si="3"/>
        <v>44.761332000000003</v>
      </c>
    </row>
    <row r="5" spans="1:8">
      <c r="A5" s="177" t="s">
        <v>270</v>
      </c>
      <c r="B5" s="228">
        <v>15.168986919971241</v>
      </c>
      <c r="C5" s="228">
        <f t="shared" si="4"/>
        <v>19.112923519163765</v>
      </c>
      <c r="D5" s="228">
        <v>55.08</v>
      </c>
      <c r="E5" s="228">
        <f t="shared" si="0"/>
        <v>52.636991371777007</v>
      </c>
      <c r="F5" s="228">
        <f t="shared" si="1"/>
        <v>105.27398274355401</v>
      </c>
      <c r="G5" s="228">
        <f t="shared" si="2"/>
        <v>157.91097411533102</v>
      </c>
      <c r="H5" s="228">
        <f t="shared" si="3"/>
        <v>210.54796548710803</v>
      </c>
    </row>
    <row r="6" spans="1:8">
      <c r="A6" s="177" t="s">
        <v>213</v>
      </c>
      <c r="B6" s="228">
        <f>VLOOKUP(A6,[2]Sheet1!$A:$B,2,0)</f>
        <v>0.9</v>
      </c>
      <c r="C6" s="228">
        <f t="shared" si="4"/>
        <v>1.1340000000000001</v>
      </c>
      <c r="D6" s="228">
        <v>31.34</v>
      </c>
      <c r="E6" s="228">
        <f t="shared" si="0"/>
        <v>1.7769780000000002</v>
      </c>
      <c r="F6" s="228">
        <f t="shared" si="1"/>
        <v>3.5539560000000003</v>
      </c>
      <c r="G6" s="228">
        <f t="shared" si="2"/>
        <v>5.3309340000000009</v>
      </c>
      <c r="H6" s="228">
        <f t="shared" si="3"/>
        <v>7.1079120000000007</v>
      </c>
    </row>
    <row r="7" spans="1:8">
      <c r="A7" s="177" t="s">
        <v>214</v>
      </c>
      <c r="B7" s="228">
        <f>VLOOKUP(A7,[2]Sheet1!$A:$B,2,0)</f>
        <v>16.056926829268292</v>
      </c>
      <c r="C7" s="228">
        <f t="shared" si="4"/>
        <v>20.231727804878048</v>
      </c>
      <c r="D7" s="228">
        <v>27.79</v>
      </c>
      <c r="E7" s="228">
        <f t="shared" si="0"/>
        <v>28.111985784878044</v>
      </c>
      <c r="F7" s="228">
        <f t="shared" si="1"/>
        <v>56.223971569756088</v>
      </c>
      <c r="G7" s="228">
        <f t="shared" si="2"/>
        <v>84.335957354634132</v>
      </c>
      <c r="H7" s="228">
        <f t="shared" si="3"/>
        <v>112.44794313951218</v>
      </c>
    </row>
    <row r="8" spans="1:8">
      <c r="A8" s="177" t="s">
        <v>215</v>
      </c>
      <c r="B8" s="228">
        <f>VLOOKUP(A8,[2]Sheet1!$A:$B,2,0)</f>
        <v>108.02599466666666</v>
      </c>
      <c r="C8" s="228">
        <f t="shared" si="4"/>
        <v>136.11275327999999</v>
      </c>
      <c r="D8" s="228">
        <v>13.31</v>
      </c>
      <c r="E8" s="228">
        <f t="shared" si="0"/>
        <v>90.583037307840002</v>
      </c>
      <c r="F8" s="228">
        <f t="shared" si="1"/>
        <v>181.16607461568</v>
      </c>
      <c r="G8" s="228">
        <f t="shared" si="2"/>
        <v>271.74911192351999</v>
      </c>
      <c r="H8" s="228">
        <f t="shared" si="3"/>
        <v>362.33214923136001</v>
      </c>
    </row>
    <row r="9" spans="1:8" ht="13" thickBot="1">
      <c r="A9" s="178" t="s">
        <v>271</v>
      </c>
      <c r="B9" s="232">
        <v>0.96499999999999997</v>
      </c>
      <c r="C9" s="232">
        <f t="shared" si="4"/>
        <v>1.2159</v>
      </c>
      <c r="D9" s="232">
        <v>25.44</v>
      </c>
      <c r="E9" s="232">
        <f t="shared" si="0"/>
        <v>1.5466248</v>
      </c>
      <c r="F9" s="232">
        <f t="shared" si="1"/>
        <v>3.0932496</v>
      </c>
      <c r="G9" s="232">
        <f t="shared" si="2"/>
        <v>4.6398744000000001</v>
      </c>
      <c r="H9" s="232">
        <f t="shared" si="3"/>
        <v>6.1864992000000001</v>
      </c>
    </row>
    <row r="10" spans="1:8" s="173" customFormat="1" ht="13" thickBot="1">
      <c r="A10" s="231" t="s">
        <v>34</v>
      </c>
      <c r="B10" s="229">
        <f>SUM(B3:B9)</f>
        <v>158.58744174923953</v>
      </c>
      <c r="C10" s="229">
        <f>SUM(C3:C9)</f>
        <v>199.82017660404182</v>
      </c>
      <c r="D10" s="229"/>
      <c r="E10" s="230">
        <f>SUM(E3:E9)</f>
        <v>192.35116192849503</v>
      </c>
      <c r="F10" s="230">
        <f>SUM(F3:F9)</f>
        <v>384.70232385699006</v>
      </c>
      <c r="G10" s="230">
        <f>SUM(G3:G9)</f>
        <v>577.05348578548524</v>
      </c>
      <c r="H10" s="230">
        <f>SUM(H3:H9)</f>
        <v>769.40464771398013</v>
      </c>
    </row>
    <row r="12" spans="1:8" s="430" customFormat="1">
      <c r="C12" s="431"/>
    </row>
    <row r="13" spans="1:8" s="430" customFormat="1">
      <c r="A13" s="431" t="s">
        <v>721</v>
      </c>
    </row>
    <row r="14" spans="1:8" s="430" customFormat="1"/>
    <row r="15" spans="1:8" s="430" customFormat="1"/>
    <row r="16" spans="1:8" s="430" customFormat="1"/>
    <row r="17" s="430" customFormat="1"/>
    <row r="18" s="430" customFormat="1"/>
    <row r="19" s="430" customFormat="1"/>
    <row r="20" s="430" customFormat="1"/>
    <row r="21" s="430" customFormat="1"/>
    <row r="22" s="430" customFormat="1"/>
    <row r="23" s="430" customFormat="1"/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2BAF-D66F-40A6-8BB1-8C288B1A6D8C}">
  <dimension ref="A1:G7"/>
  <sheetViews>
    <sheetView workbookViewId="0">
      <selection activeCell="C2" sqref="C2"/>
    </sheetView>
  </sheetViews>
  <sheetFormatPr baseColWidth="10" defaultColWidth="9.1640625" defaultRowHeight="14"/>
  <cols>
    <col min="1" max="1" width="33.1640625" style="148" bestFit="1" customWidth="1"/>
    <col min="2" max="2" width="12.6640625" style="148" customWidth="1"/>
    <col min="3" max="3" width="19.5" style="148" bestFit="1" customWidth="1"/>
    <col min="4" max="4" width="14.5" style="148" bestFit="1" customWidth="1"/>
    <col min="5" max="5" width="17.83203125" style="148" customWidth="1"/>
    <col min="6" max="7" width="12.5" style="148" customWidth="1"/>
    <col min="8" max="8" width="14.33203125" style="148" customWidth="1"/>
    <col min="9" max="9" width="11.6640625" style="148" customWidth="1"/>
    <col min="10" max="16384" width="9.1640625" style="148"/>
  </cols>
  <sheetData>
    <row r="1" spans="1:7">
      <c r="A1" s="153" t="s">
        <v>703</v>
      </c>
    </row>
    <row r="4" spans="1:7" s="470" customFormat="1" ht="30">
      <c r="B4" s="155" t="s">
        <v>704</v>
      </c>
      <c r="C4" s="471">
        <v>0.01</v>
      </c>
      <c r="D4" s="471">
        <v>0.02</v>
      </c>
      <c r="E4" s="471">
        <v>0.03</v>
      </c>
      <c r="F4" s="471">
        <v>0.04</v>
      </c>
      <c r="G4" s="471">
        <v>0.05</v>
      </c>
    </row>
    <row r="5" spans="1:7">
      <c r="A5" s="148" t="s">
        <v>114</v>
      </c>
      <c r="B5" s="154">
        <f>'4. Revenue'!J43</f>
        <v>6373.9228721200698</v>
      </c>
      <c r="C5" s="154">
        <f>B5*0.01</f>
        <v>63.739228721200696</v>
      </c>
      <c r="D5" s="154">
        <f>C5*2</f>
        <v>127.47845744240139</v>
      </c>
      <c r="E5" s="154">
        <f>D5/2*3</f>
        <v>191.21768616360208</v>
      </c>
      <c r="F5" s="154">
        <f>D5*2</f>
        <v>254.95691488480279</v>
      </c>
      <c r="G5" s="154">
        <f>F5/4*5</f>
        <v>318.69614360600349</v>
      </c>
    </row>
    <row r="6" spans="1:7">
      <c r="A6" s="148" t="s">
        <v>7</v>
      </c>
      <c r="B6" s="154">
        <f>'4. Revenue'!J44</f>
        <v>530.91771415263031</v>
      </c>
      <c r="C6" s="154">
        <f>B6*0.01</f>
        <v>5.3091771415263036</v>
      </c>
      <c r="D6" s="154">
        <f>C6*2</f>
        <v>10.618354283052607</v>
      </c>
      <c r="E6" s="154">
        <f>D6/2*3</f>
        <v>15.927531424578911</v>
      </c>
      <c r="F6" s="154">
        <f>D6*2</f>
        <v>21.236708566105214</v>
      </c>
      <c r="G6" s="154">
        <f>F6/4*5</f>
        <v>26.54588570763152</v>
      </c>
    </row>
    <row r="7" spans="1:7">
      <c r="B7" s="472">
        <f t="shared" ref="B7:G7" si="0">SUM(B5:B6)</f>
        <v>6904.8405862727004</v>
      </c>
      <c r="C7" s="472">
        <f t="shared" si="0"/>
        <v>69.048405862726995</v>
      </c>
      <c r="D7" s="472">
        <f t="shared" si="0"/>
        <v>138.09681172545399</v>
      </c>
      <c r="E7" s="472">
        <f t="shared" si="0"/>
        <v>207.145217588181</v>
      </c>
      <c r="F7" s="472">
        <f t="shared" si="0"/>
        <v>276.19362345090798</v>
      </c>
      <c r="G7" s="472">
        <f t="shared" si="0"/>
        <v>345.24202931363499</v>
      </c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EAB4-F329-4373-A7A0-9E091A1525C0}">
  <dimension ref="A1:G8"/>
  <sheetViews>
    <sheetView workbookViewId="0">
      <selection activeCell="E15" sqref="E15"/>
    </sheetView>
  </sheetViews>
  <sheetFormatPr baseColWidth="10" defaultColWidth="9.1640625" defaultRowHeight="14"/>
  <cols>
    <col min="1" max="1" width="33.1640625" style="148" bestFit="1" customWidth="1"/>
    <col min="2" max="2" width="22.1640625" style="148" customWidth="1"/>
    <col min="3" max="3" width="19.5" style="148" bestFit="1" customWidth="1"/>
    <col min="4" max="4" width="14.5" style="148" bestFit="1" customWidth="1"/>
    <col min="5" max="5" width="17.83203125" style="148" customWidth="1"/>
    <col min="6" max="7" width="12.5" style="148" customWidth="1"/>
    <col min="8" max="8" width="14.33203125" style="148" customWidth="1"/>
    <col min="9" max="9" width="11.6640625" style="148" customWidth="1"/>
    <col min="10" max="16384" width="9.1640625" style="148"/>
  </cols>
  <sheetData>
    <row r="1" spans="1:7">
      <c r="A1" s="153" t="s">
        <v>709</v>
      </c>
    </row>
    <row r="3" spans="1:7">
      <c r="C3" s="489" t="s">
        <v>711</v>
      </c>
      <c r="D3" s="489"/>
      <c r="E3" s="489"/>
      <c r="F3" s="489"/>
      <c r="G3" s="489"/>
    </row>
    <row r="4" spans="1:7" s="470" customFormat="1" ht="30">
      <c r="B4" s="155" t="s">
        <v>710</v>
      </c>
      <c r="C4" s="471">
        <v>0.03</v>
      </c>
      <c r="D4" s="471">
        <v>0.04</v>
      </c>
      <c r="E4" s="471">
        <v>0.05</v>
      </c>
      <c r="F4" s="471">
        <v>0.06</v>
      </c>
      <c r="G4" s="471">
        <v>7.0000000000000007E-2</v>
      </c>
    </row>
    <row r="5" spans="1:7">
      <c r="A5" s="148" t="s">
        <v>666</v>
      </c>
      <c r="B5" s="154">
        <f>'11. Trust Addenda'!B3</f>
        <v>5790298.8000000007</v>
      </c>
      <c r="C5" s="154">
        <f>B5*0.03</f>
        <v>173708.96400000001</v>
      </c>
      <c r="D5" s="154">
        <f>B5*0.04</f>
        <v>231611.95200000005</v>
      </c>
      <c r="E5" s="154">
        <f>B5*0.05</f>
        <v>289514.94000000006</v>
      </c>
      <c r="F5" s="154">
        <f>B5*0.06</f>
        <v>347417.92800000001</v>
      </c>
      <c r="G5" s="154">
        <f>B5*0.07</f>
        <v>405320.91600000008</v>
      </c>
    </row>
    <row r="6" spans="1:7">
      <c r="A6" s="148" t="s">
        <v>667</v>
      </c>
      <c r="B6" s="154">
        <f>'11. Trust Addenda'!C3</f>
        <v>4638978.4243756169</v>
      </c>
      <c r="C6" s="154">
        <f>B6*0.03</f>
        <v>139169.3527312685</v>
      </c>
      <c r="D6" s="154">
        <f>B6*0.04</f>
        <v>185559.13697502468</v>
      </c>
      <c r="E6" s="154">
        <f>B6*0.05</f>
        <v>231948.92121878086</v>
      </c>
      <c r="F6" s="154">
        <f>B6*0.06</f>
        <v>278338.70546253701</v>
      </c>
      <c r="G6" s="154">
        <f>B6*0.07</f>
        <v>324728.48970629321</v>
      </c>
    </row>
    <row r="7" spans="1:7">
      <c r="A7" s="148" t="s">
        <v>668</v>
      </c>
      <c r="B7" s="154">
        <f>'11. Trust Addenda'!D3</f>
        <v>5262322.7679429743</v>
      </c>
      <c r="C7" s="154">
        <f>B7*0.03</f>
        <v>157869.68303828922</v>
      </c>
      <c r="D7" s="154">
        <f>B7*0.04</f>
        <v>210492.91071771897</v>
      </c>
      <c r="E7" s="154">
        <f>B7*0.05</f>
        <v>263116.13839714875</v>
      </c>
      <c r="F7" s="154">
        <f>B7*0.06</f>
        <v>315739.36607657844</v>
      </c>
      <c r="G7" s="154">
        <f>B7*0.07</f>
        <v>368362.59375600825</v>
      </c>
    </row>
    <row r="8" spans="1:7">
      <c r="B8" s="472">
        <f>SUM(B5:B7)</f>
        <v>15691599.992318591</v>
      </c>
      <c r="C8" s="472">
        <f>SUM(C6:C7)</f>
        <v>297039.0357695577</v>
      </c>
      <c r="D8" s="472">
        <f>SUM(D6:D7)</f>
        <v>396052.04769274365</v>
      </c>
      <c r="E8" s="472">
        <f>SUM(E6:E7)</f>
        <v>495065.05961592961</v>
      </c>
      <c r="F8" s="472">
        <f>SUM(F6:F7)</f>
        <v>594078.07153911539</v>
      </c>
      <c r="G8" s="472">
        <f>SUM(G6:G7)</f>
        <v>693091.08346230141</v>
      </c>
    </row>
  </sheetData>
  <mergeCells count="1">
    <mergeCell ref="C3:G3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9"/>
  <sheetViews>
    <sheetView zoomScale="75" zoomScaleNormal="90" workbookViewId="0">
      <selection sqref="A1:E38"/>
    </sheetView>
  </sheetViews>
  <sheetFormatPr baseColWidth="10" defaultColWidth="9.1640625" defaultRowHeight="14"/>
  <cols>
    <col min="1" max="1" width="26.83203125" style="148" customWidth="1"/>
    <col min="2" max="4" width="25.6640625" style="148" customWidth="1"/>
    <col min="5" max="5" width="72.33203125" style="148" customWidth="1"/>
    <col min="6" max="16384" width="9.1640625" style="148"/>
  </cols>
  <sheetData>
    <row r="1" spans="1:5" s="151" customFormat="1" ht="14" customHeight="1">
      <c r="A1" s="338"/>
      <c r="B1" s="339" t="s">
        <v>340</v>
      </c>
      <c r="C1" s="340" t="s">
        <v>341</v>
      </c>
      <c r="D1" s="341" t="s">
        <v>343</v>
      </c>
      <c r="E1" s="340" t="s">
        <v>344</v>
      </c>
    </row>
    <row r="2" spans="1:5" ht="14" customHeight="1">
      <c r="A2" s="510" t="s">
        <v>342</v>
      </c>
      <c r="B2" s="342" t="s">
        <v>345</v>
      </c>
      <c r="C2" s="343" t="s">
        <v>346</v>
      </c>
      <c r="D2" s="344" t="s">
        <v>363</v>
      </c>
      <c r="E2" s="507" t="s">
        <v>347</v>
      </c>
    </row>
    <row r="3" spans="1:5" ht="14" customHeight="1">
      <c r="A3" s="511"/>
      <c r="B3" s="345"/>
      <c r="C3" s="481">
        <f>'10a. Sensitivity Optimism Bias'!E24</f>
        <v>-46433.3008130081</v>
      </c>
      <c r="D3" s="482">
        <f>'10a. Sensitivity Optimism Bias'!E25</f>
        <v>40629.138211382087</v>
      </c>
      <c r="E3" s="508"/>
    </row>
    <row r="4" spans="1:5" ht="14" customHeight="1">
      <c r="A4" s="511"/>
      <c r="B4" s="345"/>
      <c r="C4" s="476">
        <f>'10a. Sensitivity Optimism Bias'!C24</f>
        <v>-574623.07200000063</v>
      </c>
      <c r="D4" s="477">
        <f>'10a. Sensitivity Optimism Bias'!C25</f>
        <v>502795.18799999915</v>
      </c>
      <c r="E4" s="508"/>
    </row>
    <row r="5" spans="1:5" ht="14" customHeight="1">
      <c r="A5" s="512"/>
      <c r="B5" s="346">
        <v>0.23</v>
      </c>
      <c r="C5" s="347">
        <v>0.15</v>
      </c>
      <c r="D5" s="348">
        <v>0.3</v>
      </c>
      <c r="E5" s="509"/>
    </row>
    <row r="6" spans="1:5" ht="33.75" customHeight="1">
      <c r="A6" s="513" t="s">
        <v>354</v>
      </c>
      <c r="B6" s="427" t="s">
        <v>688</v>
      </c>
      <c r="C6" s="349" t="s">
        <v>695</v>
      </c>
      <c r="D6" s="350" t="s">
        <v>694</v>
      </c>
      <c r="E6" s="507" t="s">
        <v>699</v>
      </c>
    </row>
    <row r="7" spans="1:5" ht="14" customHeight="1">
      <c r="A7" s="513"/>
      <c r="B7" s="345"/>
      <c r="C7" s="481">
        <f>'10b. Sensitivity Inner London'!E16*1000</f>
        <v>67081.050973842284</v>
      </c>
      <c r="D7" s="482">
        <f>'10b. Sensitivity Inner London'!E12*1000</f>
        <v>562223.61374725925</v>
      </c>
      <c r="E7" s="508"/>
    </row>
    <row r="8" spans="1:5" ht="14" customHeight="1">
      <c r="A8" s="513"/>
      <c r="B8" s="345"/>
      <c r="C8" s="478" t="s">
        <v>364</v>
      </c>
      <c r="D8" s="478" t="s">
        <v>364</v>
      </c>
      <c r="E8" s="508"/>
    </row>
    <row r="9" spans="1:5" ht="14" customHeight="1">
      <c r="A9" s="513"/>
      <c r="B9" s="345" t="s">
        <v>355</v>
      </c>
      <c r="C9" s="349"/>
      <c r="D9" s="350"/>
      <c r="E9" s="509"/>
    </row>
    <row r="10" spans="1:5" ht="14" customHeight="1">
      <c r="A10" s="504" t="s">
        <v>352</v>
      </c>
      <c r="B10" s="342" t="s">
        <v>353</v>
      </c>
      <c r="C10" s="343" t="s">
        <v>419</v>
      </c>
      <c r="D10" s="343" t="s">
        <v>419</v>
      </c>
      <c r="E10" s="507" t="s">
        <v>698</v>
      </c>
    </row>
    <row r="11" spans="1:5" ht="14" customHeight="1">
      <c r="A11" s="505"/>
      <c r="B11" s="345"/>
      <c r="C11" s="481">
        <f>'10f. Sensitivity Temp Staffing'!H10*1000</f>
        <v>769404.64771398017</v>
      </c>
      <c r="D11" s="482">
        <f>'10f. Sensitivity Temp Staffing'!F10*1000</f>
        <v>384702.32385699009</v>
      </c>
      <c r="E11" s="508"/>
    </row>
    <row r="12" spans="1:5" ht="14" customHeight="1">
      <c r="A12" s="505"/>
      <c r="B12" s="345"/>
      <c r="C12" s="478" t="s">
        <v>364</v>
      </c>
      <c r="D12" s="478" t="s">
        <v>364</v>
      </c>
      <c r="E12" s="508"/>
    </row>
    <row r="13" spans="1:5" ht="24" customHeight="1">
      <c r="A13" s="506"/>
      <c r="B13" s="346" t="s">
        <v>685</v>
      </c>
      <c r="C13" s="347" t="s">
        <v>696</v>
      </c>
      <c r="D13" s="353" t="s">
        <v>697</v>
      </c>
      <c r="E13" s="509"/>
    </row>
    <row r="14" spans="1:5" ht="24" customHeight="1">
      <c r="A14" s="510" t="s">
        <v>349</v>
      </c>
      <c r="B14" s="342" t="s">
        <v>350</v>
      </c>
      <c r="C14" s="343" t="s">
        <v>692</v>
      </c>
      <c r="D14" s="351" t="s">
        <v>691</v>
      </c>
      <c r="E14" s="507" t="s">
        <v>368</v>
      </c>
    </row>
    <row r="15" spans="1:5" ht="14" customHeight="1">
      <c r="A15" s="511"/>
      <c r="B15" s="345"/>
      <c r="C15" s="481">
        <f>AVERAGE('10d. Sensitivity LOS'!D7:E7)*1000</f>
        <v>325855.4400000007</v>
      </c>
      <c r="D15" s="482">
        <f>'10d. Sensitivity LOS'!G7*1000</f>
        <v>868947.84000000078</v>
      </c>
      <c r="E15" s="508"/>
    </row>
    <row r="16" spans="1:5" ht="14" customHeight="1">
      <c r="A16" s="511"/>
      <c r="B16" s="345"/>
      <c r="C16" s="478" t="s">
        <v>364</v>
      </c>
      <c r="D16" s="478" t="s">
        <v>364</v>
      </c>
      <c r="E16" s="508"/>
    </row>
    <row r="17" spans="1:5" ht="14" customHeight="1">
      <c r="A17" s="512"/>
      <c r="B17" s="354" t="s">
        <v>693</v>
      </c>
      <c r="C17" s="352">
        <v>2.6</v>
      </c>
      <c r="D17" s="353">
        <v>3.1</v>
      </c>
      <c r="E17" s="509"/>
    </row>
    <row r="18" spans="1:5" ht="14" customHeight="1">
      <c r="A18" s="504" t="s">
        <v>348</v>
      </c>
      <c r="B18" s="342" t="s">
        <v>366</v>
      </c>
      <c r="C18" s="351" t="s">
        <v>365</v>
      </c>
      <c r="D18" s="351" t="s">
        <v>690</v>
      </c>
      <c r="E18" s="507" t="s">
        <v>422</v>
      </c>
    </row>
    <row r="19" spans="1:5" ht="14" customHeight="1">
      <c r="A19" s="505"/>
      <c r="B19" s="345"/>
      <c r="C19" s="481">
        <f>'10e. SensitivityAverageTheatre'!I8*1000</f>
        <v>1149597.7428571426</v>
      </c>
      <c r="D19" s="482">
        <v>1377752.3109243701</v>
      </c>
      <c r="E19" s="508"/>
    </row>
    <row r="20" spans="1:5" ht="14" customHeight="1">
      <c r="A20" s="505"/>
      <c r="B20" s="345"/>
      <c r="C20" s="478" t="s">
        <v>364</v>
      </c>
      <c r="D20" s="478" t="s">
        <v>364</v>
      </c>
      <c r="E20" s="508"/>
    </row>
    <row r="21" spans="1:5" ht="14" customHeight="1">
      <c r="A21" s="506"/>
      <c r="B21" s="355" t="s">
        <v>351</v>
      </c>
      <c r="C21" s="355" t="s">
        <v>367</v>
      </c>
      <c r="D21" s="353" t="s">
        <v>689</v>
      </c>
      <c r="E21" s="509"/>
    </row>
    <row r="22" spans="1:5" ht="14" customHeight="1">
      <c r="A22" s="504" t="s">
        <v>715</v>
      </c>
      <c r="B22" s="427" t="s">
        <v>701</v>
      </c>
      <c r="C22" s="343" t="s">
        <v>722</v>
      </c>
      <c r="D22" s="351" t="s">
        <v>725</v>
      </c>
      <c r="E22" s="507" t="s">
        <v>724</v>
      </c>
    </row>
    <row r="23" spans="1:5" ht="14" customHeight="1">
      <c r="A23" s="505"/>
      <c r="B23" s="427"/>
      <c r="C23" s="481">
        <f>-'10f. Sensitivity Temp Staffing'!F10*1000</f>
        <v>-384702.32385699009</v>
      </c>
      <c r="D23" s="482">
        <f>-'10f. Sensitivity Temp Staffing'!H10*1000</f>
        <v>-769404.64771398017</v>
      </c>
      <c r="E23" s="508"/>
    </row>
    <row r="24" spans="1:5" ht="14" customHeight="1">
      <c r="A24" s="505"/>
      <c r="B24" s="427"/>
      <c r="C24" s="478" t="s">
        <v>364</v>
      </c>
      <c r="D24" s="478" t="s">
        <v>364</v>
      </c>
      <c r="E24" s="508"/>
    </row>
    <row r="25" spans="1:5" ht="14" customHeight="1">
      <c r="A25" s="505"/>
      <c r="B25" s="427"/>
      <c r="C25" s="474">
        <v>0.1</v>
      </c>
      <c r="D25" s="475">
        <v>0.2</v>
      </c>
      <c r="E25" s="508"/>
    </row>
    <row r="26" spans="1:5" ht="14" customHeight="1">
      <c r="A26" s="504" t="s">
        <v>707</v>
      </c>
      <c r="B26" s="469" t="s">
        <v>701</v>
      </c>
      <c r="C26" s="343" t="s">
        <v>705</v>
      </c>
      <c r="D26" s="351" t="s">
        <v>706</v>
      </c>
      <c r="E26" s="507" t="s">
        <v>708</v>
      </c>
    </row>
    <row r="27" spans="1:5" ht="14" customHeight="1">
      <c r="A27" s="505"/>
      <c r="B27" s="345"/>
      <c r="C27" s="481">
        <f>-'10g. SensitivityProcurement'!E7*1000</f>
        <v>-207145.217588181</v>
      </c>
      <c r="D27" s="482">
        <f>-'10g. SensitivityProcurement'!G7*1000</f>
        <v>-345242.02931363496</v>
      </c>
      <c r="E27" s="508"/>
    </row>
    <row r="28" spans="1:5" ht="14" customHeight="1">
      <c r="A28" s="505"/>
      <c r="B28" s="345"/>
      <c r="C28" s="478" t="s">
        <v>364</v>
      </c>
      <c r="D28" s="478" t="s">
        <v>364</v>
      </c>
      <c r="E28" s="508"/>
    </row>
    <row r="29" spans="1:5" ht="14" customHeight="1">
      <c r="A29" s="505"/>
      <c r="B29" s="354"/>
      <c r="C29" s="347">
        <v>0.03</v>
      </c>
      <c r="D29" s="348">
        <v>0.05</v>
      </c>
      <c r="E29" s="508"/>
    </row>
    <row r="30" spans="1:5" ht="14" customHeight="1">
      <c r="A30" s="504" t="s">
        <v>702</v>
      </c>
      <c r="B30" s="427" t="s">
        <v>701</v>
      </c>
      <c r="C30" s="351" t="s">
        <v>712</v>
      </c>
      <c r="D30" s="351" t="s">
        <v>713</v>
      </c>
      <c r="E30" s="507" t="s">
        <v>714</v>
      </c>
    </row>
    <row r="31" spans="1:5" ht="14" customHeight="1">
      <c r="A31" s="505"/>
      <c r="B31" s="345"/>
      <c r="C31" s="481">
        <f>-'10h. SensitivityVacantMargin'!C8</f>
        <v>-297039.0357695577</v>
      </c>
      <c r="D31" s="482">
        <f>-'10h. SensitivityVacantMargin'!E8</f>
        <v>-495065.05961592961</v>
      </c>
      <c r="E31" s="508"/>
    </row>
    <row r="32" spans="1:5" ht="14" customHeight="1">
      <c r="A32" s="505"/>
      <c r="B32" s="345"/>
      <c r="C32" s="478" t="s">
        <v>364</v>
      </c>
      <c r="D32" s="478" t="s">
        <v>364</v>
      </c>
      <c r="E32" s="508"/>
    </row>
    <row r="33" spans="1:5" ht="14" customHeight="1">
      <c r="A33" s="506"/>
      <c r="B33" s="355"/>
      <c r="C33" s="355">
        <v>0.03</v>
      </c>
      <c r="D33" s="348">
        <v>0.05</v>
      </c>
      <c r="E33" s="509"/>
    </row>
    <row r="34" spans="1:5">
      <c r="A34" s="483" t="s">
        <v>420</v>
      </c>
      <c r="B34" s="483"/>
      <c r="C34" s="484">
        <f>C3+C7+C11+C15+C19+C23+C27+C31</f>
        <v>1376619.0035172291</v>
      </c>
      <c r="D34" s="484">
        <f>D3+D7+D11+D15+D19+D23+D27+D31</f>
        <v>1624543.4900964578</v>
      </c>
      <c r="E34" s="483"/>
    </row>
    <row r="35" spans="1:5">
      <c r="A35" s="479" t="s">
        <v>421</v>
      </c>
      <c r="B35" s="479"/>
      <c r="C35" s="480">
        <f>C4</f>
        <v>-574623.07200000063</v>
      </c>
      <c r="D35" s="480">
        <f>D4</f>
        <v>502795.18799999915</v>
      </c>
      <c r="E35" s="479"/>
    </row>
    <row r="36" spans="1:5">
      <c r="A36" s="172"/>
      <c r="B36" s="172"/>
      <c r="C36" s="172"/>
      <c r="D36" s="172"/>
      <c r="E36" s="172"/>
    </row>
    <row r="37" spans="1:5">
      <c r="A37" s="483" t="s">
        <v>356</v>
      </c>
      <c r="B37" s="172"/>
      <c r="C37" s="172"/>
      <c r="D37" s="172"/>
      <c r="E37" s="172"/>
    </row>
    <row r="38" spans="1:5">
      <c r="A38" s="479" t="s">
        <v>357</v>
      </c>
      <c r="B38" s="172"/>
      <c r="C38" s="172"/>
      <c r="D38" s="172"/>
      <c r="E38" s="172"/>
    </row>
    <row r="39" spans="1:5">
      <c r="A39" s="172"/>
      <c r="B39" s="172"/>
      <c r="C39" s="172"/>
      <c r="D39" s="172"/>
      <c r="E39" s="172"/>
    </row>
  </sheetData>
  <mergeCells count="16">
    <mergeCell ref="E6:E9"/>
    <mergeCell ref="A26:A29"/>
    <mergeCell ref="E26:E29"/>
    <mergeCell ref="E18:E21"/>
    <mergeCell ref="A2:A5"/>
    <mergeCell ref="A6:A9"/>
    <mergeCell ref="E2:E5"/>
    <mergeCell ref="A10:A13"/>
    <mergeCell ref="A14:A17"/>
    <mergeCell ref="E14:E17"/>
    <mergeCell ref="E10:E13"/>
    <mergeCell ref="A30:A33"/>
    <mergeCell ref="A22:A25"/>
    <mergeCell ref="E22:E25"/>
    <mergeCell ref="E30:E33"/>
    <mergeCell ref="A18:A2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4ADFA-1168-408A-A8AE-1904B071B178}">
  <dimension ref="A1:I16"/>
  <sheetViews>
    <sheetView workbookViewId="0">
      <selection activeCell="A13" sqref="A13"/>
    </sheetView>
  </sheetViews>
  <sheetFormatPr baseColWidth="10" defaultColWidth="22.5" defaultRowHeight="15"/>
  <cols>
    <col min="1" max="1" width="22.5" style="435"/>
    <col min="2" max="6" width="20.6640625" style="435" customWidth="1"/>
    <col min="7" max="7" width="17.5" style="435" customWidth="1"/>
    <col min="8" max="16384" width="22.5" style="435"/>
  </cols>
  <sheetData>
    <row r="1" spans="1:9" s="434" customFormat="1" ht="27" thickBot="1">
      <c r="A1" s="432"/>
      <c r="B1" s="433" t="s">
        <v>666</v>
      </c>
      <c r="C1" s="433" t="s">
        <v>667</v>
      </c>
      <c r="D1" s="433" t="s">
        <v>668</v>
      </c>
      <c r="E1" s="433" t="s">
        <v>669</v>
      </c>
      <c r="F1" s="433" t="s">
        <v>670</v>
      </c>
      <c r="G1" s="433" t="s">
        <v>671</v>
      </c>
    </row>
    <row r="2" spans="1:9" ht="16" thickBot="1">
      <c r="A2" s="514" t="s">
        <v>672</v>
      </c>
      <c r="B2" s="515"/>
      <c r="C2" s="515"/>
      <c r="D2" s="515"/>
      <c r="E2" s="515"/>
      <c r="F2" s="515"/>
      <c r="G2" s="516"/>
    </row>
    <row r="3" spans="1:9" ht="16" thickBot="1">
      <c r="A3" s="436" t="s">
        <v>673</v>
      </c>
      <c r="B3" s="437">
        <f>6396*B10</f>
        <v>5790298.8000000007</v>
      </c>
      <c r="C3" s="437">
        <f>C10*'[3]Total Income &amp; Non Pay Analysis'!$G$2</f>
        <v>4638978.4243756169</v>
      </c>
      <c r="D3" s="437">
        <f>D10*'[3]Total Income &amp; Non Pay Analysis'!$F$2</f>
        <v>5262322.7679429743</v>
      </c>
      <c r="E3" s="437">
        <f>(E12*('[3]Total Income &amp; Non Pay Analysis'!$D$2))+SUM(E10:E11)*'[3]Total Income &amp; Non Pay Analysis'!$C$2+(SUM(E10:E12)*(99.93))+(980.7*E11)+((980.7*E10*0.5))</f>
        <v>11745596.563121581</v>
      </c>
      <c r="F3" s="437">
        <f>6396*F10</f>
        <v>1950780</v>
      </c>
      <c r="G3" s="437">
        <f>SUM(B3:F3)</f>
        <v>29387976.555440173</v>
      </c>
    </row>
    <row r="4" spans="1:9" ht="16" thickBot="1">
      <c r="A4" s="436" t="s">
        <v>674</v>
      </c>
      <c r="B4" s="437">
        <f>-B10*'[4]8a. National Cost Collection'!$B$14</f>
        <v>-5936052.1000000006</v>
      </c>
      <c r="C4" s="437">
        <f>C10*-'[4]8a. National Cost Collection'!$B$13</f>
        <v>-5273710</v>
      </c>
      <c r="D4" s="437">
        <f>-D10*'[4]8a. National Cost Collection'!$B$12</f>
        <v>-6250338</v>
      </c>
      <c r="E4" s="437">
        <f>-(SUM(E10:E11)*'[4]8a. National Cost Collection'!$B$15)-('[4]8a. National Cost Collection'!$B$16*E12)</f>
        <v>-13856254.600000001</v>
      </c>
      <c r="F4" s="437">
        <f>F3*-1.23</f>
        <v>-2399459.4</v>
      </c>
      <c r="G4" s="437">
        <f>SUM(B4:F4)</f>
        <v>-33715814.100000001</v>
      </c>
    </row>
    <row r="5" spans="1:9" ht="16" thickBot="1">
      <c r="A5" s="436" t="s">
        <v>675</v>
      </c>
      <c r="B5" s="437">
        <f t="shared" ref="B5:G5" si="0">SUM(B3:B4)</f>
        <v>-145753.29999999981</v>
      </c>
      <c r="C5" s="437">
        <f t="shared" si="0"/>
        <v>-634731.57562438305</v>
      </c>
      <c r="D5" s="437">
        <f t="shared" si="0"/>
        <v>-988015.23205702566</v>
      </c>
      <c r="E5" s="437">
        <f t="shared" si="0"/>
        <v>-2110658.03687842</v>
      </c>
      <c r="F5" s="437">
        <f t="shared" si="0"/>
        <v>-448679.39999999991</v>
      </c>
      <c r="G5" s="437">
        <f t="shared" si="0"/>
        <v>-4327837.5445598289</v>
      </c>
      <c r="H5" s="438"/>
    </row>
    <row r="6" spans="1:9" ht="17" thickBot="1">
      <c r="A6" s="436" t="s">
        <v>676</v>
      </c>
      <c r="B6" s="439"/>
      <c r="C6" s="439"/>
      <c r="D6" s="439"/>
      <c r="E6" s="439"/>
      <c r="F6" s="439"/>
      <c r="G6" s="437">
        <f>-G5</f>
        <v>4327837.5445598289</v>
      </c>
    </row>
    <row r="7" spans="1:9" ht="17" thickBot="1">
      <c r="A7" s="436" t="s">
        <v>677</v>
      </c>
      <c r="B7" s="439"/>
      <c r="C7" s="439"/>
      <c r="D7" s="439"/>
      <c r="E7" s="439"/>
      <c r="F7" s="439"/>
      <c r="G7" s="437">
        <f>-406460</f>
        <v>-406460</v>
      </c>
    </row>
    <row r="8" spans="1:9" ht="27" thickBot="1">
      <c r="A8" s="441" t="s">
        <v>678</v>
      </c>
      <c r="B8" s="442"/>
      <c r="C8" s="442"/>
      <c r="D8" s="442"/>
      <c r="E8" s="442"/>
      <c r="F8" s="442"/>
      <c r="G8" s="443">
        <f>SUM(G6:G7)</f>
        <v>3921377.5445598289</v>
      </c>
      <c r="H8" s="438"/>
      <c r="I8" s="438"/>
    </row>
    <row r="9" spans="1:9" ht="16" thickBot="1">
      <c r="A9" s="514" t="s">
        <v>679</v>
      </c>
      <c r="B9" s="515"/>
      <c r="C9" s="515"/>
      <c r="D9" s="515"/>
      <c r="E9" s="515"/>
      <c r="F9" s="515"/>
      <c r="G9" s="516"/>
    </row>
    <row r="10" spans="1:9" ht="16" thickBot="1">
      <c r="A10" s="436" t="s">
        <v>680</v>
      </c>
      <c r="B10" s="437">
        <v>905.30000000000007</v>
      </c>
      <c r="C10" s="440">
        <v>718</v>
      </c>
      <c r="D10" s="440">
        <v>818</v>
      </c>
      <c r="E10" s="437">
        <f>1480-E11</f>
        <v>1203</v>
      </c>
      <c r="F10" s="437">
        <v>305</v>
      </c>
      <c r="G10" s="437">
        <f>SUM(B10:F10)</f>
        <v>3949.3</v>
      </c>
    </row>
    <row r="11" spans="1:9" ht="17" thickBot="1">
      <c r="A11" s="436" t="s">
        <v>681</v>
      </c>
      <c r="B11" s="439"/>
      <c r="C11" s="439"/>
      <c r="D11" s="439"/>
      <c r="E11" s="440">
        <v>277</v>
      </c>
      <c r="F11" s="440"/>
      <c r="G11" s="437">
        <f>SUM(B11:F11)</f>
        <v>277</v>
      </c>
    </row>
    <row r="12" spans="1:9" ht="17" thickBot="1">
      <c r="A12" s="436" t="s">
        <v>682</v>
      </c>
      <c r="B12" s="439"/>
      <c r="C12" s="439"/>
      <c r="D12" s="439"/>
      <c r="E12" s="437">
        <v>1568.6000000000001</v>
      </c>
      <c r="F12" s="437"/>
      <c r="G12" s="437">
        <f>SUM(B12:F12)</f>
        <v>1568.6000000000001</v>
      </c>
    </row>
    <row r="16" spans="1:9">
      <c r="D16" s="438"/>
    </row>
  </sheetData>
  <mergeCells count="2">
    <mergeCell ref="A2:G2"/>
    <mergeCell ref="A9:G9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6"/>
  <sheetViews>
    <sheetView workbookViewId="0">
      <selection activeCell="A22" sqref="A22:E25"/>
    </sheetView>
  </sheetViews>
  <sheetFormatPr baseColWidth="10" defaultColWidth="9.1640625" defaultRowHeight="15"/>
  <cols>
    <col min="1" max="1" width="23.1640625" style="149" customWidth="1"/>
    <col min="2" max="2" width="14" style="149" customWidth="1"/>
    <col min="3" max="3" width="13.1640625" style="149" customWidth="1"/>
    <col min="4" max="4" width="11" style="149" customWidth="1"/>
    <col min="5" max="5" width="11.33203125" style="149" customWidth="1"/>
    <col min="6" max="6" width="9.1640625" style="149"/>
    <col min="7" max="10" width="9.1640625" style="234"/>
    <col min="11" max="16384" width="9.1640625" style="149"/>
  </cols>
  <sheetData>
    <row r="1" spans="1:10" ht="24">
      <c r="A1" s="183" t="s">
        <v>265</v>
      </c>
      <c r="G1" s="239" t="s">
        <v>274</v>
      </c>
      <c r="H1" s="240" t="s">
        <v>275</v>
      </c>
      <c r="I1" s="240" t="s">
        <v>276</v>
      </c>
      <c r="J1" s="241" t="s">
        <v>277</v>
      </c>
    </row>
    <row r="2" spans="1:10" ht="24">
      <c r="A2" s="188" t="s">
        <v>266</v>
      </c>
      <c r="G2" s="242" t="s">
        <v>278</v>
      </c>
      <c r="H2" s="243">
        <v>22254</v>
      </c>
      <c r="I2" s="243">
        <v>21327</v>
      </c>
      <c r="J2" s="244">
        <v>19472</v>
      </c>
    </row>
    <row r="3" spans="1:10" ht="9" customHeight="1" thickBot="1">
      <c r="G3" s="242" t="s">
        <v>279</v>
      </c>
      <c r="H3" s="243">
        <v>23901</v>
      </c>
      <c r="I3" s="243">
        <v>22905</v>
      </c>
      <c r="J3" s="244">
        <v>20913</v>
      </c>
    </row>
    <row r="4" spans="1:10" ht="66" thickBot="1">
      <c r="A4" s="170"/>
      <c r="B4" s="238" t="s">
        <v>272</v>
      </c>
      <c r="C4" s="238" t="s">
        <v>304</v>
      </c>
      <c r="D4" s="238" t="s">
        <v>303</v>
      </c>
      <c r="E4" s="248" t="s">
        <v>305</v>
      </c>
      <c r="G4" s="242" t="s">
        <v>280</v>
      </c>
      <c r="H4" s="243">
        <v>24395</v>
      </c>
      <c r="I4" s="243">
        <v>23378</v>
      </c>
      <c r="J4" s="244">
        <v>21346</v>
      </c>
    </row>
    <row r="5" spans="1:10" ht="24">
      <c r="A5" s="176" t="s">
        <v>269</v>
      </c>
      <c r="B5" s="233">
        <v>19.61</v>
      </c>
      <c r="C5" s="233">
        <v>24.681125825524965</v>
      </c>
      <c r="D5" s="233">
        <f>(H5-I5)/1000</f>
        <v>1.089</v>
      </c>
      <c r="E5" s="249">
        <f t="shared" ref="E5:E11" si="0">B5*D5*1.265</f>
        <v>27.014441849999997</v>
      </c>
      <c r="G5" s="242" t="s">
        <v>281</v>
      </c>
      <c r="H5" s="243">
        <v>26132</v>
      </c>
      <c r="I5" s="243">
        <v>25043</v>
      </c>
      <c r="J5" s="244">
        <v>22865</v>
      </c>
    </row>
    <row r="6" spans="1:10" ht="24">
      <c r="A6" s="177" t="s">
        <v>212</v>
      </c>
      <c r="B6" s="228">
        <v>28.54</v>
      </c>
      <c r="C6" s="228">
        <v>38.133220961086039</v>
      </c>
      <c r="D6" s="228">
        <f>(H12-I12)/1000</f>
        <v>1.7090000000000001</v>
      </c>
      <c r="E6" s="250">
        <f t="shared" si="0"/>
        <v>61.700197899999999</v>
      </c>
      <c r="G6" s="242" t="s">
        <v>282</v>
      </c>
      <c r="H6" s="243">
        <v>27059</v>
      </c>
      <c r="I6" s="243">
        <v>25931</v>
      </c>
      <c r="J6" s="244">
        <v>23676</v>
      </c>
    </row>
    <row r="7" spans="1:10" ht="24">
      <c r="A7" s="177" t="s">
        <v>270</v>
      </c>
      <c r="B7" s="228">
        <v>25.88</v>
      </c>
      <c r="C7" s="228">
        <v>108.86087002347723</v>
      </c>
      <c r="D7" s="228">
        <f>(H25-I25)/1000</f>
        <v>4.6870000000000003</v>
      </c>
      <c r="E7" s="250">
        <f t="shared" si="0"/>
        <v>153.44394339999999</v>
      </c>
      <c r="G7" s="242" t="s">
        <v>283</v>
      </c>
      <c r="H7" s="243">
        <v>29858</v>
      </c>
      <c r="I7" s="243">
        <v>28614</v>
      </c>
      <c r="J7" s="244">
        <v>26126</v>
      </c>
    </row>
    <row r="8" spans="1:10" ht="24">
      <c r="A8" s="177" t="s">
        <v>213</v>
      </c>
      <c r="B8" s="228">
        <v>3.5</v>
      </c>
      <c r="C8" s="228">
        <v>61.94533709768492</v>
      </c>
      <c r="D8" s="228">
        <f>(H18-I18)/1000</f>
        <v>2.6619999999999999</v>
      </c>
      <c r="E8" s="250">
        <f t="shared" si="0"/>
        <v>11.786004999999999</v>
      </c>
      <c r="G8" s="242" t="s">
        <v>284</v>
      </c>
      <c r="H8" s="243">
        <v>30785</v>
      </c>
      <c r="I8" s="243">
        <v>29502</v>
      </c>
      <c r="J8" s="244">
        <v>26937</v>
      </c>
    </row>
    <row r="9" spans="1:10" ht="24">
      <c r="A9" s="177" t="s">
        <v>214</v>
      </c>
      <c r="B9" s="228">
        <v>27.48</v>
      </c>
      <c r="C9" s="228">
        <v>54.915886779569725</v>
      </c>
      <c r="D9" s="228">
        <f>(H17-I17)/1000</f>
        <v>2.3570000000000002</v>
      </c>
      <c r="E9" s="250">
        <f t="shared" si="0"/>
        <v>81.934505400000006</v>
      </c>
      <c r="G9" s="242" t="s">
        <v>285</v>
      </c>
      <c r="H9" s="243">
        <v>33335</v>
      </c>
      <c r="I9" s="243">
        <v>31946</v>
      </c>
      <c r="J9" s="244">
        <v>29168</v>
      </c>
    </row>
    <row r="10" spans="1:10" ht="24">
      <c r="A10" s="177" t="s">
        <v>215</v>
      </c>
      <c r="B10" s="228">
        <v>243.3</v>
      </c>
      <c r="C10" s="228">
        <v>35.079898831551311</v>
      </c>
      <c r="D10" s="228">
        <f>(H10-I10)/1000</f>
        <v>1.577</v>
      </c>
      <c r="E10" s="250">
        <f t="shared" si="0"/>
        <v>485.36038649999995</v>
      </c>
      <c r="G10" s="242" t="s">
        <v>286</v>
      </c>
      <c r="H10" s="243">
        <v>37840</v>
      </c>
      <c r="I10" s="243">
        <v>36263</v>
      </c>
      <c r="J10" s="244">
        <v>33110</v>
      </c>
    </row>
    <row r="11" spans="1:10" ht="25" thickBot="1">
      <c r="A11" s="178" t="s">
        <v>271</v>
      </c>
      <c r="B11" s="232">
        <v>2.2200000000000002</v>
      </c>
      <c r="C11" s="232">
        <v>50.27128007922984</v>
      </c>
      <c r="D11" s="232">
        <f>(H16-I16)/1000</f>
        <v>2.2919999999999998</v>
      </c>
      <c r="E11" s="251">
        <f t="shared" si="0"/>
        <v>6.436623599999999</v>
      </c>
      <c r="G11" s="242" t="s">
        <v>287</v>
      </c>
      <c r="H11" s="243">
        <v>38767</v>
      </c>
      <c r="I11" s="243">
        <v>37152</v>
      </c>
      <c r="J11" s="244">
        <v>33921</v>
      </c>
    </row>
    <row r="12" spans="1:10" ht="25" thickBot="1">
      <c r="A12" s="231" t="s">
        <v>34</v>
      </c>
      <c r="B12" s="229">
        <f>SUM(B5:B11)</f>
        <v>350.53000000000003</v>
      </c>
      <c r="C12" s="229"/>
      <c r="D12" s="229"/>
      <c r="E12" s="230">
        <f>SUM(E5:E11)</f>
        <v>827.67610364999985</v>
      </c>
      <c r="G12" s="242" t="s">
        <v>288</v>
      </c>
      <c r="H12" s="243">
        <v>41006</v>
      </c>
      <c r="I12" s="243">
        <v>39297</v>
      </c>
      <c r="J12" s="244">
        <v>35880</v>
      </c>
    </row>
    <row r="13" spans="1:10" ht="24">
      <c r="G13" s="242" t="s">
        <v>289</v>
      </c>
      <c r="H13" s="243">
        <v>46832</v>
      </c>
      <c r="I13" s="243">
        <v>44881</v>
      </c>
      <c r="J13" s="244">
        <v>40978</v>
      </c>
    </row>
    <row r="14" spans="1:10" ht="24">
      <c r="G14" s="242" t="s">
        <v>290</v>
      </c>
      <c r="H14" s="243">
        <v>48068</v>
      </c>
      <c r="I14" s="243">
        <v>46065</v>
      </c>
      <c r="J14" s="244">
        <v>42060</v>
      </c>
    </row>
    <row r="15" spans="1:10" ht="24">
      <c r="G15" s="242" t="s">
        <v>291</v>
      </c>
      <c r="H15" s="243">
        <v>50545</v>
      </c>
      <c r="I15" s="243">
        <v>48439</v>
      </c>
      <c r="J15" s="244">
        <v>44227</v>
      </c>
    </row>
    <row r="16" spans="1:10" ht="24">
      <c r="G16" s="242" t="s">
        <v>292</v>
      </c>
      <c r="H16" s="243">
        <v>55006</v>
      </c>
      <c r="I16" s="243">
        <v>52714</v>
      </c>
      <c r="J16" s="244">
        <v>48130</v>
      </c>
    </row>
    <row r="17" spans="7:10" ht="24">
      <c r="G17" s="242" t="s">
        <v>293</v>
      </c>
      <c r="H17" s="243">
        <v>56551</v>
      </c>
      <c r="I17" s="243">
        <v>54194</v>
      </c>
      <c r="J17" s="244">
        <v>49482</v>
      </c>
    </row>
    <row r="18" spans="7:10" ht="36">
      <c r="G18" s="242" t="s">
        <v>294</v>
      </c>
      <c r="H18" s="243">
        <v>63886</v>
      </c>
      <c r="I18" s="243">
        <v>61224</v>
      </c>
      <c r="J18" s="244">
        <v>55901</v>
      </c>
    </row>
    <row r="19" spans="7:10" ht="24">
      <c r="G19" s="242" t="s">
        <v>295</v>
      </c>
      <c r="H19" s="243">
        <v>65716</v>
      </c>
      <c r="I19" s="243">
        <v>62977</v>
      </c>
      <c r="J19" s="244">
        <v>57501</v>
      </c>
    </row>
    <row r="20" spans="7:10" ht="36">
      <c r="G20" s="242" t="s">
        <v>296</v>
      </c>
      <c r="H20" s="243">
        <v>76633</v>
      </c>
      <c r="I20" s="243">
        <v>73440</v>
      </c>
      <c r="J20" s="244">
        <v>67054</v>
      </c>
    </row>
    <row r="21" spans="7:10" ht="24">
      <c r="G21" s="242" t="s">
        <v>297</v>
      </c>
      <c r="H21" s="243">
        <v>78796</v>
      </c>
      <c r="I21" s="243">
        <v>75513</v>
      </c>
      <c r="J21" s="244">
        <v>68947</v>
      </c>
    </row>
    <row r="22" spans="7:10" ht="36">
      <c r="G22" s="242" t="s">
        <v>298</v>
      </c>
      <c r="H22" s="243">
        <v>91049</v>
      </c>
      <c r="I22" s="243">
        <v>87255</v>
      </c>
      <c r="J22" s="244">
        <v>79668</v>
      </c>
    </row>
    <row r="23" spans="7:10" ht="24">
      <c r="G23" s="242" t="s">
        <v>299</v>
      </c>
      <c r="H23" s="243">
        <v>93830</v>
      </c>
      <c r="I23" s="243">
        <v>89920</v>
      </c>
      <c r="J23" s="244">
        <v>82101</v>
      </c>
    </row>
    <row r="24" spans="7:10" ht="36">
      <c r="G24" s="242" t="s">
        <v>300</v>
      </c>
      <c r="H24" s="243">
        <v>108464</v>
      </c>
      <c r="I24" s="243">
        <v>103945</v>
      </c>
      <c r="J24" s="244">
        <v>94906</v>
      </c>
    </row>
    <row r="25" spans="7:10" ht="24">
      <c r="G25" s="242" t="s">
        <v>301</v>
      </c>
      <c r="H25" s="243">
        <v>112481</v>
      </c>
      <c r="I25" s="243">
        <v>107794</v>
      </c>
      <c r="J25" s="244">
        <v>98421</v>
      </c>
    </row>
    <row r="26" spans="7:10" ht="25" thickBot="1">
      <c r="G26" s="245" t="s">
        <v>302</v>
      </c>
      <c r="H26" s="246">
        <v>129690</v>
      </c>
      <c r="I26" s="246">
        <v>124286</v>
      </c>
      <c r="J26" s="247">
        <v>113479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E12"/>
  <sheetViews>
    <sheetView workbookViewId="0">
      <selection activeCell="E16" sqref="E16"/>
    </sheetView>
  </sheetViews>
  <sheetFormatPr baseColWidth="10" defaultColWidth="9.1640625" defaultRowHeight="12"/>
  <cols>
    <col min="1" max="1" width="33" style="172" bestFit="1" customWidth="1"/>
    <col min="2" max="16384" width="9.1640625" style="172"/>
  </cols>
  <sheetData>
    <row r="3" spans="1:5" s="272" customFormat="1" ht="39">
      <c r="A3" s="278"/>
      <c r="B3" s="170" t="s">
        <v>328</v>
      </c>
      <c r="C3" s="170" t="s">
        <v>329</v>
      </c>
      <c r="D3" s="170" t="s">
        <v>335</v>
      </c>
      <c r="E3" s="170" t="s">
        <v>336</v>
      </c>
    </row>
    <row r="4" spans="1:5">
      <c r="A4" s="172" t="s">
        <v>3</v>
      </c>
      <c r="B4" s="273" t="e">
        <f>'4. Revenue'!#REF!</f>
        <v>#REF!</v>
      </c>
      <c r="C4" s="273" t="e">
        <f>'4. Revenue'!#REF!</f>
        <v>#REF!</v>
      </c>
      <c r="D4" s="273">
        <f>'4. Revenue'!I27</f>
        <v>-18905.600368048959</v>
      </c>
      <c r="E4" s="273">
        <f>'4. Revenue'!J27</f>
        <v>-31613.260515821235</v>
      </c>
    </row>
    <row r="5" spans="1:5">
      <c r="A5" s="172" t="s">
        <v>330</v>
      </c>
      <c r="B5" s="273" t="e">
        <f>SUM('4. Revenue'!#REF!)</f>
        <v>#REF!</v>
      </c>
      <c r="C5" s="273" t="e">
        <f>SUM('4. Revenue'!#REF!)</f>
        <v>#REF!</v>
      </c>
      <c r="D5" s="273">
        <f>SUM('4. Revenue'!I32:I39)</f>
        <v>10815.685865224379</v>
      </c>
      <c r="E5" s="273">
        <f>SUM('4. Revenue'!J32:J39)</f>
        <v>18953.019307882802</v>
      </c>
    </row>
    <row r="6" spans="1:5">
      <c r="A6" s="172" t="s">
        <v>331</v>
      </c>
      <c r="B6" s="273" t="e">
        <f>SUM('4. Revenue'!#REF!)</f>
        <v>#REF!</v>
      </c>
      <c r="C6" s="273" t="e">
        <f>SUM('4. Revenue'!#REF!)</f>
        <v>#REF!</v>
      </c>
      <c r="D6" s="273">
        <f>SUM('4. Revenue'!I43:I46)</f>
        <v>7222.9668474070859</v>
      </c>
      <c r="E6" s="273">
        <f>SUM('4. Revenue'!J43:J46)</f>
        <v>11426.740585226084</v>
      </c>
    </row>
    <row r="7" spans="1:5">
      <c r="A7" s="172" t="s">
        <v>332</v>
      </c>
      <c r="D7" s="273">
        <f>'4. Revenue'!I50</f>
        <v>-2194.2029120223542</v>
      </c>
      <c r="E7" s="273">
        <f>'4. Revenue'!J50</f>
        <v>-3672.9759016830176</v>
      </c>
    </row>
    <row r="8" spans="1:5">
      <c r="A8" s="172" t="s">
        <v>337</v>
      </c>
      <c r="D8" s="273">
        <f>'4. Revenue'!I53</f>
        <v>2072</v>
      </c>
    </row>
    <row r="9" spans="1:5">
      <c r="A9" s="172" t="s">
        <v>333</v>
      </c>
      <c r="D9" s="273">
        <f>SUM('4. Revenue'!I60:I61)</f>
        <v>342.96537235792863</v>
      </c>
      <c r="E9" s="273">
        <f>SUM('4. Revenue'!J60:J61)</f>
        <v>805.52976403422872</v>
      </c>
    </row>
    <row r="10" spans="1:5">
      <c r="A10" s="274" t="s">
        <v>334</v>
      </c>
      <c r="B10" s="275" t="e">
        <f>SUM(B4:B8)</f>
        <v>#REF!</v>
      </c>
      <c r="C10" s="275" t="e">
        <f>SUM(C4:C8)</f>
        <v>#REF!</v>
      </c>
      <c r="D10" s="275">
        <f>SUM(D4:D9)</f>
        <v>-646.18519508192003</v>
      </c>
      <c r="E10" s="275">
        <f>SUM(E4:E9)</f>
        <v>-4100.9467603611392</v>
      </c>
    </row>
    <row r="11" spans="1:5">
      <c r="A11" s="276" t="s">
        <v>338</v>
      </c>
      <c r="B11" s="276"/>
      <c r="C11" s="276"/>
      <c r="D11" s="277" t="e">
        <f>D10-B10</f>
        <v>#REF!</v>
      </c>
      <c r="E11" s="277" t="e">
        <f>E10-C10</f>
        <v>#REF!</v>
      </c>
    </row>
    <row r="12" spans="1:5">
      <c r="A12" s="276" t="s">
        <v>339</v>
      </c>
      <c r="B12" s="276"/>
      <c r="C12" s="276"/>
      <c r="D12" s="277" t="e">
        <f>(#REF!-#REF!)/1000</f>
        <v>#REF!</v>
      </c>
      <c r="E12" s="277" t="e">
        <f>-(#REF!-#REF!)/1000</f>
        <v>#REF!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10"/>
  <sheetViews>
    <sheetView topLeftCell="A5" workbookViewId="0">
      <selection activeCell="E16" sqref="E16"/>
    </sheetView>
  </sheetViews>
  <sheetFormatPr baseColWidth="10" defaultColWidth="8.83203125" defaultRowHeight="15"/>
  <sheetData>
    <row r="1" spans="1:1">
      <c r="A1" t="s">
        <v>358</v>
      </c>
    </row>
    <row r="5" spans="1:1">
      <c r="A5" t="s">
        <v>359</v>
      </c>
    </row>
    <row r="6" spans="1:1">
      <c r="A6" t="s">
        <v>360</v>
      </c>
    </row>
    <row r="9" spans="1:1">
      <c r="A9" t="s">
        <v>361</v>
      </c>
    </row>
    <row r="10" spans="1:1">
      <c r="A10" t="s">
        <v>362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DDCD2-52C9-4AB4-BA46-E9B3768DF2E6}">
  <dimension ref="A1:T40"/>
  <sheetViews>
    <sheetView topLeftCell="H1" workbookViewId="0">
      <selection activeCell="E16" sqref="E16"/>
    </sheetView>
  </sheetViews>
  <sheetFormatPr baseColWidth="10" defaultColWidth="9.1640625" defaultRowHeight="15"/>
  <cols>
    <col min="1" max="1" width="34.33203125" style="149" bestFit="1" customWidth="1"/>
    <col min="2" max="2" width="17.6640625" style="149" bestFit="1" customWidth="1"/>
    <col min="3" max="3" width="1.83203125" style="149" customWidth="1"/>
    <col min="4" max="4" width="9.1640625" style="149"/>
    <col min="5" max="5" width="8.83203125" style="149" customWidth="1"/>
    <col min="6" max="6" width="9.6640625" style="149" bestFit="1" customWidth="1"/>
    <col min="7" max="7" width="9.1640625" style="149"/>
    <col min="8" max="8" width="16.83203125" style="149" customWidth="1"/>
    <col min="9" max="9" width="2" style="149" customWidth="1"/>
    <col min="10" max="10" width="16.6640625" style="149" bestFit="1" customWidth="1"/>
    <col min="11" max="11" width="0.6640625" style="149" customWidth="1"/>
    <col min="12" max="12" width="21.33203125" style="149" customWidth="1"/>
    <col min="13" max="13" width="17" style="149" customWidth="1"/>
    <col min="14" max="14" width="18.5" style="149" customWidth="1"/>
    <col min="15" max="16" width="17.5" style="149" customWidth="1"/>
    <col min="17" max="17" width="9.1640625" style="149"/>
    <col min="18" max="18" width="27.1640625" style="149" customWidth="1"/>
    <col min="19" max="19" width="15.6640625" style="149" customWidth="1"/>
    <col min="20" max="20" width="14.1640625" style="149" customWidth="1"/>
    <col min="21" max="16384" width="9.1640625" style="149"/>
  </cols>
  <sheetData>
    <row r="1" spans="1:20" s="280" customFormat="1" ht="31" thickBot="1">
      <c r="B1" s="301" t="s">
        <v>372</v>
      </c>
      <c r="D1" s="298" t="s">
        <v>369</v>
      </c>
      <c r="E1" s="299" t="s">
        <v>220</v>
      </c>
      <c r="F1" s="299" t="s">
        <v>221</v>
      </c>
      <c r="G1" s="299" t="s">
        <v>222</v>
      </c>
      <c r="H1" s="300" t="s">
        <v>373</v>
      </c>
      <c r="J1" s="295" t="s">
        <v>374</v>
      </c>
      <c r="L1" s="296" t="s">
        <v>375</v>
      </c>
      <c r="M1" s="295" t="s">
        <v>378</v>
      </c>
      <c r="N1" s="295" t="s">
        <v>229</v>
      </c>
      <c r="O1" s="295" t="s">
        <v>377</v>
      </c>
      <c r="P1" s="297" t="s">
        <v>380</v>
      </c>
      <c r="R1" s="310" t="s">
        <v>379</v>
      </c>
      <c r="S1" s="311" t="s">
        <v>378</v>
      </c>
      <c r="T1" s="312" t="s">
        <v>229</v>
      </c>
    </row>
    <row r="2" spans="1:20">
      <c r="A2" s="292" t="s">
        <v>370</v>
      </c>
      <c r="B2" s="285"/>
      <c r="D2" s="285">
        <v>2920</v>
      </c>
      <c r="E2" s="285" t="e">
        <f>#REF!</f>
        <v>#REF!</v>
      </c>
      <c r="F2" s="285" t="e">
        <f>#REF!</f>
        <v>#REF!</v>
      </c>
      <c r="G2" s="285" t="e">
        <f>#REF!</f>
        <v>#REF!</v>
      </c>
      <c r="H2" s="285" t="e">
        <f>SUM(D2:G2)</f>
        <v>#REF!</v>
      </c>
      <c r="J2" s="285"/>
      <c r="K2" s="285"/>
      <c r="L2" s="285"/>
      <c r="M2" s="285"/>
      <c r="N2" s="285"/>
      <c r="O2" s="285"/>
      <c r="P2" s="285"/>
      <c r="R2" s="236" t="str">
        <f>A18</f>
        <v>Nursing</v>
      </c>
      <c r="S2" s="307">
        <f>1-SUM(S3:S6)</f>
        <v>0.2984</v>
      </c>
      <c r="T2" s="303">
        <f>1-SUM(T3:T6)</f>
        <v>0.64600000000000002</v>
      </c>
    </row>
    <row r="3" spans="1:20">
      <c r="A3" s="293" t="s">
        <v>4</v>
      </c>
      <c r="B3" s="4" t="e">
        <f>SUM(D3:G3)</f>
        <v>#REF!</v>
      </c>
      <c r="D3" s="4">
        <f>D4*1000/D2</f>
        <v>4571.4473458947296</v>
      </c>
      <c r="E3" s="4" t="e">
        <f>E4/(E2/1000)</f>
        <v>#REF!</v>
      </c>
      <c r="F3" s="4" t="e">
        <f>F4/(F2/1000)</f>
        <v>#REF!</v>
      </c>
      <c r="G3" s="4" t="e">
        <f>G4/(G2/1000)</f>
        <v>#REF!</v>
      </c>
      <c r="H3" s="4" t="e">
        <f>SUM(D3:G3)</f>
        <v>#REF!</v>
      </c>
      <c r="J3" s="4"/>
      <c r="K3" s="4"/>
      <c r="L3" s="4"/>
      <c r="M3" s="4"/>
      <c r="N3" s="4"/>
      <c r="O3" s="4"/>
      <c r="P3" s="4">
        <v>527</v>
      </c>
      <c r="R3" s="236" t="str">
        <f>A17</f>
        <v>Medical Other</v>
      </c>
      <c r="S3" s="307">
        <v>0.114</v>
      </c>
      <c r="T3" s="303">
        <v>0.13500000000000001</v>
      </c>
    </row>
    <row r="4" spans="1:20">
      <c r="A4" s="286" t="s">
        <v>371</v>
      </c>
      <c r="B4" s="294"/>
      <c r="D4" s="287">
        <v>13348.62625001261</v>
      </c>
      <c r="E4" s="287">
        <v>7088.562031292422</v>
      </c>
      <c r="F4" s="287">
        <v>6069.7915283747816</v>
      </c>
      <c r="G4" s="287">
        <v>7165.5166570321135</v>
      </c>
      <c r="H4" s="287">
        <f>SUM(D4:G4)</f>
        <v>33672.496466711927</v>
      </c>
      <c r="J4" s="287"/>
      <c r="K4" s="287"/>
      <c r="L4" s="287"/>
      <c r="M4" s="287"/>
      <c r="N4" s="287"/>
      <c r="O4" s="287"/>
      <c r="P4" s="287"/>
      <c r="R4" s="236" t="str">
        <f>A15</f>
        <v>Consultant</v>
      </c>
      <c r="S4" s="307">
        <v>0.20599999999999999</v>
      </c>
      <c r="T4" s="303"/>
    </row>
    <row r="5" spans="1:20">
      <c r="R5" s="236" t="str">
        <f>A23</f>
        <v>Clinical Supplies &amp; Services</v>
      </c>
      <c r="S5" s="307">
        <v>0.2606</v>
      </c>
      <c r="T5" s="303">
        <v>0.121</v>
      </c>
    </row>
    <row r="6" spans="1:20" ht="16" thickBot="1">
      <c r="A6" s="153" t="s">
        <v>3</v>
      </c>
      <c r="R6" s="304" t="str">
        <f>A24</f>
        <v>Drugs</v>
      </c>
      <c r="S6" s="308">
        <v>0.121</v>
      </c>
      <c r="T6" s="305">
        <v>9.8000000000000004E-2</v>
      </c>
    </row>
    <row r="7" spans="1:20" ht="16" thickBot="1">
      <c r="R7" s="183"/>
      <c r="S7" s="309">
        <f>SUM(S2:S6)</f>
        <v>1</v>
      </c>
      <c r="T7" s="306">
        <f>SUM(T2:T6)</f>
        <v>1</v>
      </c>
    </row>
    <row r="8" spans="1:20">
      <c r="A8" s="284" t="s">
        <v>99</v>
      </c>
      <c r="B8" s="285">
        <f>B9</f>
        <v>-29529.854668859589</v>
      </c>
      <c r="D8" s="285" t="e">
        <f>H8-SUM(E8:G8)</f>
        <v>#REF!</v>
      </c>
      <c r="E8" s="285" t="e">
        <f>E3*-6.068*1.03</f>
        <v>#REF!</v>
      </c>
      <c r="F8" s="285" t="e">
        <f>F3*-6.068*0.989</f>
        <v>#REF!</v>
      </c>
      <c r="G8" s="285" t="e">
        <f>G3*-6.068*1.033</f>
        <v>#REF!</v>
      </c>
      <c r="H8" s="285">
        <f>B8+L8+P8</f>
        <v>-32142.690668859588</v>
      </c>
      <c r="J8" s="285"/>
      <c r="L8" s="285">
        <v>585</v>
      </c>
      <c r="M8" s="285"/>
      <c r="N8" s="285"/>
      <c r="O8" s="285"/>
      <c r="P8" s="285">
        <f>(-6068*P3)/1000</f>
        <v>-3197.8359999999998</v>
      </c>
    </row>
    <row r="9" spans="1:20">
      <c r="A9" s="286" t="s">
        <v>5</v>
      </c>
      <c r="B9" s="287">
        <v>-29529.854668859589</v>
      </c>
      <c r="D9" s="287" t="e">
        <f>D8</f>
        <v>#REF!</v>
      </c>
      <c r="E9" s="287" t="e">
        <f>E8</f>
        <v>#REF!</v>
      </c>
      <c r="F9" s="287" t="e">
        <f>F8</f>
        <v>#REF!</v>
      </c>
      <c r="G9" s="287" t="e">
        <f>G8</f>
        <v>#REF!</v>
      </c>
      <c r="H9" s="287">
        <f>H8</f>
        <v>-32142.690668859588</v>
      </c>
      <c r="J9" s="287"/>
      <c r="L9" s="287"/>
      <c r="M9" s="287"/>
      <c r="N9" s="287"/>
      <c r="O9" s="287"/>
      <c r="P9" s="287"/>
    </row>
    <row r="10" spans="1:20">
      <c r="A10" s="9"/>
      <c r="B10" s="17"/>
    </row>
    <row r="11" spans="1:20">
      <c r="A11" s="288" t="s">
        <v>6</v>
      </c>
      <c r="B11" s="5"/>
      <c r="D11" s="5"/>
      <c r="E11" s="5"/>
      <c r="F11" s="5"/>
      <c r="G11" s="5"/>
      <c r="H11" s="5"/>
      <c r="J11" s="5"/>
      <c r="L11" s="5"/>
      <c r="M11" s="5"/>
      <c r="N11" s="5"/>
      <c r="O11" s="5"/>
      <c r="P11" s="5"/>
    </row>
    <row r="12" spans="1:20">
      <c r="A12" s="289" t="s">
        <v>101</v>
      </c>
      <c r="B12" s="92"/>
      <c r="D12" s="92"/>
      <c r="E12" s="92"/>
      <c r="F12" s="92"/>
      <c r="G12" s="92"/>
      <c r="H12" s="92"/>
      <c r="J12" s="92"/>
      <c r="L12" s="92"/>
      <c r="M12" s="92"/>
      <c r="N12" s="92"/>
      <c r="O12" s="92"/>
      <c r="P12" s="92"/>
    </row>
    <row r="13" spans="1:20">
      <c r="A13" s="20" t="s">
        <v>211</v>
      </c>
      <c r="B13" s="4">
        <v>564.09290214664293</v>
      </c>
      <c r="D13" s="4">
        <f>($B13/SUM($B$13:$B$25))*D$4</f>
        <v>266.82405457283181</v>
      </c>
      <c r="E13" s="4">
        <f t="shared" ref="E13:G20" si="0">($B13/SUM($B$13:$B$25))*E$4</f>
        <v>141.69239791837651</v>
      </c>
      <c r="F13" s="4">
        <f t="shared" si="0"/>
        <v>121.32831916027726</v>
      </c>
      <c r="G13" s="4">
        <f t="shared" si="0"/>
        <v>143.23063450343182</v>
      </c>
      <c r="H13" s="4">
        <f>SUM(D13:G13)</f>
        <v>673.07540615491746</v>
      </c>
      <c r="J13" s="4">
        <f>B13-H13</f>
        <v>-108.98250400827453</v>
      </c>
      <c r="L13" s="4"/>
      <c r="M13" s="4"/>
      <c r="N13" s="4"/>
      <c r="O13" s="4"/>
      <c r="P13" s="4">
        <f t="shared" ref="P13:P20" si="1">-($P$8-$P$38)*(B13/SUM($B$13:$B$25))</f>
        <v>56.492932658572037</v>
      </c>
    </row>
    <row r="14" spans="1:20">
      <c r="A14" s="20" t="s">
        <v>212</v>
      </c>
      <c r="B14" s="4">
        <v>1268.7888238456464</v>
      </c>
      <c r="D14" s="4">
        <f t="shared" ref="D14:D20" si="2">($B14/SUM($B$13:$B$25))*D$4</f>
        <v>600.15535931558543</v>
      </c>
      <c r="E14" s="4">
        <f t="shared" si="0"/>
        <v>318.702345338128</v>
      </c>
      <c r="F14" s="4">
        <f t="shared" si="0"/>
        <v>272.89833781053102</v>
      </c>
      <c r="G14" s="4">
        <f t="shared" si="0"/>
        <v>322.1622317861254</v>
      </c>
      <c r="H14" s="4">
        <f t="shared" ref="H14:H25" si="3">SUM(D14:G14)</f>
        <v>1513.9182742503699</v>
      </c>
      <c r="J14" s="4">
        <f t="shared" ref="J14:J20" si="4">B14-H14</f>
        <v>-245.12945040472346</v>
      </c>
      <c r="L14" s="4"/>
      <c r="M14" s="4"/>
      <c r="N14" s="4"/>
      <c r="O14" s="4"/>
      <c r="P14" s="4">
        <f t="shared" si="1"/>
        <v>127.06701557614608</v>
      </c>
    </row>
    <row r="15" spans="1:20">
      <c r="A15" s="20" t="s">
        <v>115</v>
      </c>
      <c r="B15" s="4">
        <v>3283.5369052310834</v>
      </c>
      <c r="D15" s="4">
        <f t="shared" si="2"/>
        <v>1553.1601746081285</v>
      </c>
      <c r="E15" s="4">
        <f t="shared" si="0"/>
        <v>824.77942194480784</v>
      </c>
      <c r="F15" s="4">
        <f t="shared" si="0"/>
        <v>706.24184792323547</v>
      </c>
      <c r="G15" s="4">
        <f t="shared" si="0"/>
        <v>833.73336654645925</v>
      </c>
      <c r="H15" s="4">
        <f t="shared" si="3"/>
        <v>3917.9148110226315</v>
      </c>
      <c r="J15" s="4">
        <f t="shared" si="4"/>
        <v>-634.37790579154807</v>
      </c>
      <c r="L15" s="4"/>
      <c r="M15" s="4">
        <f>S4*M38</f>
        <v>-395.40650853934198</v>
      </c>
      <c r="N15" s="4"/>
      <c r="O15" s="4"/>
      <c r="P15" s="4">
        <f t="shared" si="1"/>
        <v>328.84056608982735</v>
      </c>
    </row>
    <row r="16" spans="1:20">
      <c r="A16" s="20" t="s">
        <v>213</v>
      </c>
      <c r="B16" s="4">
        <v>252.73060107325699</v>
      </c>
      <c r="D16" s="4">
        <f t="shared" si="2"/>
        <v>119.54520866398856</v>
      </c>
      <c r="E16" s="4">
        <f t="shared" si="0"/>
        <v>63.482459639446319</v>
      </c>
      <c r="F16" s="4">
        <f t="shared" si="0"/>
        <v>54.358739335127304</v>
      </c>
      <c r="G16" s="4">
        <f t="shared" si="0"/>
        <v>64.171635935149553</v>
      </c>
      <c r="H16" s="4">
        <f t="shared" si="3"/>
        <v>301.55804357371176</v>
      </c>
      <c r="J16" s="4">
        <f t="shared" si="4"/>
        <v>-48.827442500454765</v>
      </c>
      <c r="L16" s="4">
        <v>179.10000000000002</v>
      </c>
      <c r="M16" s="4"/>
      <c r="N16" s="4"/>
      <c r="O16" s="4"/>
      <c r="P16" s="4">
        <f t="shared" si="1"/>
        <v>25.310534440088258</v>
      </c>
    </row>
    <row r="17" spans="1:16">
      <c r="A17" s="20" t="s">
        <v>214</v>
      </c>
      <c r="B17" s="4">
        <v>1026.9454988998325</v>
      </c>
      <c r="D17" s="4">
        <f t="shared" si="2"/>
        <v>485.75998882279794</v>
      </c>
      <c r="E17" s="4">
        <f t="shared" si="0"/>
        <v>257.95462009336461</v>
      </c>
      <c r="F17" s="4">
        <f t="shared" si="0"/>
        <v>220.88129592940413</v>
      </c>
      <c r="G17" s="4">
        <f t="shared" si="0"/>
        <v>260.75501898378525</v>
      </c>
      <c r="H17" s="4">
        <f t="shared" si="3"/>
        <v>1225.3509238293518</v>
      </c>
      <c r="J17" s="4">
        <f t="shared" si="4"/>
        <v>-198.40542492951931</v>
      </c>
      <c r="L17" s="4"/>
      <c r="M17" s="4">
        <f>M38*S3</f>
        <v>-218.81719404604362</v>
      </c>
      <c r="N17" s="4">
        <f>N38*T3</f>
        <v>-155.40357393688413</v>
      </c>
      <c r="O17" s="4"/>
      <c r="P17" s="4">
        <f t="shared" si="1"/>
        <v>102.84682308994937</v>
      </c>
    </row>
    <row r="18" spans="1:16">
      <c r="A18" s="20" t="s">
        <v>215</v>
      </c>
      <c r="B18" s="4">
        <v>9082.4502115344585</v>
      </c>
      <c r="D18" s="4">
        <f t="shared" si="2"/>
        <v>4296.1295589347819</v>
      </c>
      <c r="E18" s="4">
        <f t="shared" si="0"/>
        <v>2281.3868860062948</v>
      </c>
      <c r="F18" s="4">
        <f t="shared" si="0"/>
        <v>1953.505200701697</v>
      </c>
      <c r="G18" s="4">
        <f t="shared" si="0"/>
        <v>2306.1540070676656</v>
      </c>
      <c r="H18" s="4">
        <f t="shared" si="3"/>
        <v>10837.175652710439</v>
      </c>
      <c r="J18" s="4">
        <f t="shared" si="4"/>
        <v>-1754.7254411759804</v>
      </c>
      <c r="L18" s="4"/>
      <c r="M18" s="4">
        <f>M38*S2</f>
        <v>-572.76360266087204</v>
      </c>
      <c r="N18" s="4">
        <f>N38*T2</f>
        <v>-743.63487972760845</v>
      </c>
      <c r="O18" s="4"/>
      <c r="P18" s="4">
        <f t="shared" si="1"/>
        <v>909.59174671845858</v>
      </c>
    </row>
    <row r="19" spans="1:16">
      <c r="A19" s="20" t="s">
        <v>216</v>
      </c>
      <c r="B19" s="4">
        <v>129.80004403656585</v>
      </c>
      <c r="D19" s="4">
        <f t="shared" si="2"/>
        <v>61.397287400303334</v>
      </c>
      <c r="E19" s="4">
        <f t="shared" si="0"/>
        <v>32.603990263771728</v>
      </c>
      <c r="F19" s="4">
        <f t="shared" si="0"/>
        <v>27.918133892407155</v>
      </c>
      <c r="G19" s="4">
        <f t="shared" si="0"/>
        <v>32.957944684610958</v>
      </c>
      <c r="H19" s="4">
        <f t="shared" si="3"/>
        <v>154.87735624109317</v>
      </c>
      <c r="J19" s="4">
        <f t="shared" si="4"/>
        <v>-25.077312204527317</v>
      </c>
      <c r="L19" s="4"/>
      <c r="M19" s="4"/>
      <c r="N19" s="4"/>
      <c r="O19" s="4"/>
      <c r="P19" s="4">
        <f t="shared" si="1"/>
        <v>12.999250866182946</v>
      </c>
    </row>
    <row r="20" spans="1:16">
      <c r="A20" s="20" t="s">
        <v>225</v>
      </c>
      <c r="B20" s="4">
        <v>156.08344986767491</v>
      </c>
      <c r="D20" s="4">
        <f t="shared" si="2"/>
        <v>73.829716323184201</v>
      </c>
      <c r="E20" s="4">
        <f t="shared" si="0"/>
        <v>39.206021212041911</v>
      </c>
      <c r="F20" s="4">
        <f t="shared" si="0"/>
        <v>33.57131874752681</v>
      </c>
      <c r="G20" s="4">
        <f t="shared" si="0"/>
        <v>39.63164839507229</v>
      </c>
      <c r="H20" s="4">
        <f t="shared" si="3"/>
        <v>186.23870467782521</v>
      </c>
      <c r="J20" s="4">
        <f t="shared" si="4"/>
        <v>-30.155254810150296</v>
      </c>
      <c r="L20" s="4"/>
      <c r="M20" s="4"/>
      <c r="N20" s="4"/>
      <c r="O20" s="4"/>
      <c r="P20" s="4">
        <f t="shared" si="1"/>
        <v>15.631488694392253</v>
      </c>
    </row>
    <row r="21" spans="1:16">
      <c r="A21" s="20"/>
      <c r="B21" s="4"/>
      <c r="D21" s="4"/>
      <c r="E21" s="4"/>
      <c r="F21" s="4"/>
      <c r="G21" s="4"/>
      <c r="H21" s="4"/>
      <c r="J21" s="4"/>
      <c r="L21" s="4"/>
      <c r="M21" s="4"/>
      <c r="N21" s="4"/>
      <c r="O21" s="4"/>
      <c r="P21" s="4"/>
    </row>
    <row r="22" spans="1:16">
      <c r="A22" s="290" t="s">
        <v>102</v>
      </c>
      <c r="B22" s="4"/>
      <c r="D22" s="4"/>
      <c r="E22" s="4"/>
      <c r="F22" s="4"/>
      <c r="G22" s="4"/>
      <c r="H22" s="4"/>
      <c r="J22" s="4"/>
      <c r="L22" s="4"/>
      <c r="M22" s="4"/>
      <c r="N22" s="4"/>
      <c r="O22" s="4"/>
      <c r="P22" s="4"/>
    </row>
    <row r="23" spans="1:16">
      <c r="A23" s="20" t="s">
        <v>114</v>
      </c>
      <c r="B23" s="4">
        <v>6662.922872120067</v>
      </c>
      <c r="D23" s="4">
        <f t="shared" ref="D23:G25" si="5">($B23/SUM($B$13:$B$25))*D$4</f>
        <v>3151.658333724195</v>
      </c>
      <c r="E23" s="4">
        <f t="shared" si="5"/>
        <v>1673.634813172072</v>
      </c>
      <c r="F23" s="4">
        <f t="shared" si="5"/>
        <v>1433.0994587815976</v>
      </c>
      <c r="G23" s="4">
        <f t="shared" si="5"/>
        <v>1691.804075161177</v>
      </c>
      <c r="H23" s="4">
        <f t="shared" si="3"/>
        <v>7950.1966808390416</v>
      </c>
      <c r="J23" s="4">
        <f t="shared" ref="J23:J26" si="6">B23-H23</f>
        <v>-1287.2738087189746</v>
      </c>
      <c r="L23" s="4"/>
      <c r="M23" s="4">
        <f>M38*S5</f>
        <v>-500.2084277929734</v>
      </c>
      <c r="N23" s="4">
        <f>N38*T5</f>
        <v>-139.28764775083687</v>
      </c>
      <c r="O23" s="4"/>
      <c r="P23" s="4">
        <f>-($P$8-$P$38)*(B23/SUM($B$13:$B$25))</f>
        <v>667.28025063163511</v>
      </c>
    </row>
    <row r="24" spans="1:16">
      <c r="A24" s="20" t="s">
        <v>7</v>
      </c>
      <c r="B24" s="4">
        <v>530.91771415263031</v>
      </c>
      <c r="D24" s="4">
        <f t="shared" si="5"/>
        <v>251.13171358060782</v>
      </c>
      <c r="E24" s="4">
        <f t="shared" si="5"/>
        <v>133.35924584293596</v>
      </c>
      <c r="F24" s="4">
        <f t="shared" si="5"/>
        <v>114.19281048462761</v>
      </c>
      <c r="G24" s="4">
        <f t="shared" si="5"/>
        <v>134.80701632268438</v>
      </c>
      <c r="H24" s="4">
        <f>SUM(D24:G24)</f>
        <v>633.49078623085575</v>
      </c>
      <c r="J24" s="4">
        <f t="shared" si="6"/>
        <v>-102.57307207822544</v>
      </c>
      <c r="L24" s="4"/>
      <c r="M24" s="4">
        <f>M38*S6</f>
        <v>-232.25333754009893</v>
      </c>
      <c r="N24" s="4">
        <f>N38*T6</f>
        <v>-112.81148330233069</v>
      </c>
      <c r="O24" s="4"/>
      <c r="P24" s="4">
        <f>-($P$8-$P$38)*(B24/SUM($B$13:$B$25))</f>
        <v>53.170494715904915</v>
      </c>
    </row>
    <row r="25" spans="1:16">
      <c r="A25" s="20" t="s">
        <v>217</v>
      </c>
      <c r="B25" s="4">
        <v>5262.0701556392305</v>
      </c>
      <c r="D25" s="4">
        <f t="shared" si="5"/>
        <v>2489.0348540662053</v>
      </c>
      <c r="E25" s="4">
        <f t="shared" si="5"/>
        <v>1321.7598298611822</v>
      </c>
      <c r="F25" s="4">
        <f t="shared" si="5"/>
        <v>1131.7960656083499</v>
      </c>
      <c r="G25" s="4">
        <f t="shared" si="5"/>
        <v>1336.1090776459519</v>
      </c>
      <c r="H25" s="4">
        <f t="shared" si="3"/>
        <v>6278.6998271816883</v>
      </c>
      <c r="J25" s="4">
        <f t="shared" si="6"/>
        <v>-1016.6296715424578</v>
      </c>
      <c r="L25" s="4"/>
      <c r="M25" s="4"/>
      <c r="N25" s="4"/>
      <c r="O25" s="4">
        <f>O38</f>
        <v>-2774.0529999999999</v>
      </c>
      <c r="P25" s="4">
        <f>-($P$8-$P$38)*(B25/SUM($B$13:$B$25))</f>
        <v>526.98726365099662</v>
      </c>
    </row>
    <row r="26" spans="1:16">
      <c r="A26" s="20" t="s">
        <v>218</v>
      </c>
      <c r="B26" s="4">
        <v>549.82708603283277</v>
      </c>
      <c r="D26" s="4"/>
      <c r="E26" s="4"/>
      <c r="F26" s="4"/>
      <c r="G26" s="4"/>
      <c r="H26" s="4"/>
      <c r="J26" s="4">
        <f t="shared" si="6"/>
        <v>549.82708603283277</v>
      </c>
      <c r="L26" s="4">
        <f>J26</f>
        <v>549.82708603283277</v>
      </c>
      <c r="M26" s="4"/>
      <c r="N26" s="4"/>
      <c r="O26" s="4"/>
      <c r="P26" s="4"/>
    </row>
    <row r="27" spans="1:16">
      <c r="A27" s="20"/>
      <c r="B27" s="4"/>
      <c r="D27" s="4"/>
      <c r="E27" s="4"/>
      <c r="F27" s="4"/>
      <c r="G27" s="4"/>
      <c r="H27" s="4"/>
      <c r="J27" s="4"/>
      <c r="L27" s="4"/>
      <c r="M27" s="4"/>
      <c r="N27" s="4"/>
      <c r="O27" s="4"/>
      <c r="P27" s="4"/>
    </row>
    <row r="28" spans="1:16">
      <c r="A28" s="290" t="s">
        <v>219</v>
      </c>
      <c r="B28" s="4"/>
      <c r="D28" s="4"/>
      <c r="E28" s="4"/>
      <c r="F28" s="4"/>
      <c r="G28" s="4"/>
      <c r="H28" s="4"/>
      <c r="J28" s="4"/>
      <c r="L28" s="4"/>
      <c r="M28" s="4"/>
      <c r="N28" s="4"/>
      <c r="O28" s="4"/>
      <c r="P28" s="4"/>
    </row>
    <row r="29" spans="1:16">
      <c r="A29" s="20" t="s">
        <v>223</v>
      </c>
      <c r="B29" s="4">
        <v>-4096.8004380977791</v>
      </c>
      <c r="D29" s="4"/>
      <c r="E29" s="4"/>
      <c r="F29" s="4"/>
      <c r="G29" s="4"/>
      <c r="H29" s="4"/>
      <c r="J29" s="4"/>
      <c r="L29" s="4"/>
      <c r="M29" s="4"/>
      <c r="N29" s="4"/>
      <c r="O29" s="4"/>
      <c r="P29" s="4"/>
    </row>
    <row r="30" spans="1:16">
      <c r="A30" s="20"/>
      <c r="B30" s="4"/>
      <c r="D30" s="4"/>
      <c r="E30" s="4"/>
      <c r="F30" s="4"/>
      <c r="G30" s="4"/>
      <c r="H30" s="4"/>
      <c r="J30" s="4"/>
      <c r="L30" s="4"/>
      <c r="M30" s="4"/>
      <c r="N30" s="4"/>
      <c r="O30" s="4"/>
      <c r="P30" s="4"/>
    </row>
    <row r="31" spans="1:16">
      <c r="A31" s="290" t="s">
        <v>267</v>
      </c>
      <c r="B31" s="4"/>
      <c r="D31" s="4"/>
      <c r="E31" s="4"/>
      <c r="F31" s="4"/>
      <c r="G31" s="4"/>
      <c r="H31" s="4"/>
      <c r="J31" s="4"/>
      <c r="L31" s="4"/>
      <c r="M31" s="4"/>
      <c r="N31" s="4"/>
      <c r="O31" s="4"/>
      <c r="P31" s="4"/>
    </row>
    <row r="32" spans="1:16">
      <c r="A32" s="20" t="s">
        <v>268</v>
      </c>
      <c r="B32" s="4"/>
      <c r="D32" s="4"/>
      <c r="E32" s="4"/>
      <c r="F32" s="4"/>
      <c r="G32" s="4"/>
      <c r="H32" s="4"/>
      <c r="J32" s="4"/>
      <c r="L32" s="4"/>
      <c r="M32" s="4"/>
      <c r="N32" s="4"/>
      <c r="O32" s="4"/>
      <c r="P32" s="4"/>
    </row>
    <row r="33" spans="1:18">
      <c r="A33" s="20"/>
      <c r="B33" s="4"/>
      <c r="D33" s="4"/>
      <c r="E33" s="4"/>
      <c r="F33" s="4"/>
      <c r="G33" s="4"/>
      <c r="H33" s="4"/>
      <c r="J33" s="4"/>
      <c r="L33" s="4"/>
      <c r="M33" s="4"/>
      <c r="N33" s="4"/>
      <c r="O33" s="4"/>
      <c r="P33" s="4"/>
    </row>
    <row r="34" spans="1:18">
      <c r="A34" s="290" t="s">
        <v>104</v>
      </c>
      <c r="B34" s="4"/>
      <c r="D34" s="4"/>
      <c r="E34" s="4"/>
      <c r="F34" s="4"/>
      <c r="G34" s="4"/>
      <c r="H34" s="4"/>
      <c r="J34" s="4"/>
      <c r="L34" s="4"/>
      <c r="M34" s="4"/>
      <c r="N34" s="4"/>
      <c r="O34" s="4"/>
      <c r="P34" s="4"/>
    </row>
    <row r="35" spans="1:18">
      <c r="A35" s="20" t="s">
        <v>103</v>
      </c>
      <c r="B35" s="4">
        <v>0</v>
      </c>
      <c r="D35" s="4"/>
      <c r="E35" s="4"/>
      <c r="F35" s="4"/>
      <c r="G35" s="4"/>
      <c r="H35" s="4"/>
      <c r="J35" s="4"/>
      <c r="L35" s="4"/>
      <c r="M35" s="4"/>
      <c r="N35" s="4"/>
      <c r="O35" s="4"/>
      <c r="P35" s="4"/>
    </row>
    <row r="36" spans="1:18">
      <c r="A36" s="20" t="s">
        <v>8</v>
      </c>
      <c r="B36" s="22">
        <v>502.48941785142864</v>
      </c>
      <c r="D36" s="22"/>
      <c r="E36" s="22"/>
      <c r="F36" s="22"/>
      <c r="G36" s="22"/>
      <c r="H36" s="22"/>
      <c r="J36" s="22">
        <f t="shared" ref="J36:J37" si="7">B36-H36</f>
        <v>502.48941785142864</v>
      </c>
      <c r="L36" s="22">
        <f>J36</f>
        <v>502.48941785142864</v>
      </c>
      <c r="M36" s="22"/>
      <c r="N36" s="22"/>
      <c r="O36" s="22"/>
      <c r="P36" s="22"/>
    </row>
    <row r="37" spans="1:18">
      <c r="A37" s="20" t="s">
        <v>9</v>
      </c>
      <c r="B37" s="22">
        <v>303.04034618280008</v>
      </c>
      <c r="D37" s="22"/>
      <c r="E37" s="22"/>
      <c r="F37" s="22"/>
      <c r="G37" s="22"/>
      <c r="H37" s="22"/>
      <c r="J37" s="22">
        <f t="shared" si="7"/>
        <v>303.04034618280008</v>
      </c>
      <c r="L37" s="22">
        <f>J37</f>
        <v>303.04034618280008</v>
      </c>
      <c r="M37" s="22"/>
      <c r="N37" s="22"/>
      <c r="O37" s="22"/>
      <c r="P37" s="22"/>
    </row>
    <row r="38" spans="1:18">
      <c r="A38" s="291" t="s">
        <v>95</v>
      </c>
      <c r="B38" s="281">
        <v>25478.895590516371</v>
      </c>
      <c r="D38" s="61">
        <f>SUM(D11:D37)</f>
        <v>13348.626250012609</v>
      </c>
      <c r="E38" s="61">
        <f>SUM(E11:E37)</f>
        <v>7088.5620312924211</v>
      </c>
      <c r="F38" s="61">
        <f>SUM(F11:F37)</f>
        <v>6069.7915283747807</v>
      </c>
      <c r="G38" s="61">
        <f>SUM(G11:G37)</f>
        <v>7165.5166570321126</v>
      </c>
      <c r="H38" s="282">
        <f>SUM(H11:H37)</f>
        <v>33672.496466711927</v>
      </c>
      <c r="J38" s="283">
        <f>SUM(J11:J37)</f>
        <v>-4096.8004380977745</v>
      </c>
      <c r="L38" s="283">
        <f>SUM(L8:L37)</f>
        <v>2119.4568500670616</v>
      </c>
      <c r="M38" s="283">
        <v>-1919.4490705793301</v>
      </c>
      <c r="N38" s="283">
        <v>-1151.13758471766</v>
      </c>
      <c r="O38" s="283">
        <v>-2774.0529999999999</v>
      </c>
      <c r="P38" s="283">
        <v>-371.61763286784617</v>
      </c>
      <c r="R38" s="171"/>
    </row>
    <row r="39" spans="1:18" ht="16" thickBot="1">
      <c r="B39" s="9"/>
      <c r="J39" s="9"/>
    </row>
    <row r="40" spans="1:18" ht="16" thickBot="1">
      <c r="B40" s="57">
        <v>-4050.9590783432177</v>
      </c>
      <c r="N40" s="153" t="s">
        <v>376</v>
      </c>
      <c r="O40" s="148" t="b">
        <f>J38=P40</f>
        <v>1</v>
      </c>
      <c r="P40" s="302">
        <f>SUM(L38:P38)</f>
        <v>-4096.8004380977745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026F5-E075-42B6-9793-D0108B4A9338}">
  <dimension ref="A1:Q18"/>
  <sheetViews>
    <sheetView workbookViewId="0">
      <selection activeCell="E16" sqref="E16"/>
    </sheetView>
  </sheetViews>
  <sheetFormatPr baseColWidth="10" defaultColWidth="9.1640625" defaultRowHeight="14"/>
  <cols>
    <col min="1" max="1" width="33.5" style="148" bestFit="1" customWidth="1"/>
    <col min="2" max="2" width="9.1640625" style="148"/>
    <col min="3" max="3" width="11.5" style="148" customWidth="1"/>
    <col min="4" max="4" width="11.5" style="148" hidden="1" customWidth="1"/>
    <col min="5" max="5" width="12.5" style="148" customWidth="1"/>
    <col min="6" max="16384" width="9.1640625" style="148"/>
  </cols>
  <sheetData>
    <row r="1" spans="1:17" ht="15" thickBot="1">
      <c r="E1" s="517" t="s">
        <v>393</v>
      </c>
      <c r="F1" s="518"/>
      <c r="G1" s="518"/>
      <c r="H1" s="518"/>
      <c r="I1" s="518"/>
      <c r="J1" s="518"/>
      <c r="K1" s="518"/>
      <c r="L1" s="518"/>
      <c r="M1" s="518"/>
      <c r="N1" s="519"/>
    </row>
    <row r="2" spans="1:17" s="152" customFormat="1" ht="56">
      <c r="B2" s="314" t="s">
        <v>417</v>
      </c>
      <c r="C2" s="314" t="s">
        <v>392</v>
      </c>
      <c r="D2" s="314"/>
      <c r="E2" s="314" t="s">
        <v>418</v>
      </c>
      <c r="F2" s="314" t="s">
        <v>381</v>
      </c>
      <c r="G2" s="314" t="s">
        <v>382</v>
      </c>
      <c r="H2" s="314" t="s">
        <v>383</v>
      </c>
      <c r="I2" s="314" t="s">
        <v>384</v>
      </c>
      <c r="J2" s="314" t="s">
        <v>385</v>
      </c>
      <c r="K2" s="314" t="s">
        <v>386</v>
      </c>
      <c r="L2" s="314" t="s">
        <v>387</v>
      </c>
      <c r="M2" s="314" t="s">
        <v>388</v>
      </c>
      <c r="N2" s="314" t="s">
        <v>389</v>
      </c>
    </row>
    <row r="3" spans="1:17">
      <c r="A3" s="148" t="s">
        <v>390</v>
      </c>
      <c r="B3" s="313">
        <v>18810</v>
      </c>
      <c r="C3" s="313">
        <f>SUM('4. Revenue'!J32:J39)</f>
        <v>18953.019307882802</v>
      </c>
      <c r="D3" s="313">
        <f>SUM(B3:C3)</f>
        <v>37763.019307882802</v>
      </c>
      <c r="E3" s="313">
        <f>$Q$16*(D3/($D$3+$D$6+$D$7+$D$9))</f>
        <v>18804.424120000604</v>
      </c>
      <c r="F3" s="313">
        <f>C3-SUM('9a. VFM Assessment Cost'!M13:N20)-'9a. VFM Assessment Cost'!P38+45</f>
        <v>21455.662699661396</v>
      </c>
      <c r="G3" s="313">
        <f>C3-SUM('9a. VFM Assessment Cost'!M12:N20)+'9c. VFM Incremental Activity'!K8+23</f>
        <v>21495.011341140529</v>
      </c>
      <c r="H3" s="313">
        <f>C3-SUM('9a. VFM Assessment Cost'!M15:N19)+'9c. VFM Incremental Activity'!L8</f>
        <v>21532.65482582105</v>
      </c>
      <c r="I3" s="313">
        <f>H3-'9c. VFM Incremental Activity'!L8+'9c. VFM Incremental Activity'!M8+23-46</f>
        <v>21572.413780897405</v>
      </c>
      <c r="J3" s="313">
        <f>I3-'9c. VFM Incremental Activity'!M8+'9c. VFM Incremental Activity'!N8</f>
        <v>21634.467579175147</v>
      </c>
      <c r="K3" s="313">
        <f>J3-'9c. VFM Incremental Activity'!N8+'9c. VFM Incremental Activity'!O8</f>
        <v>21695.81622065428</v>
      </c>
      <c r="L3" s="313">
        <f>K3</f>
        <v>21695.81622065428</v>
      </c>
      <c r="M3" s="313">
        <f>L3</f>
        <v>21695.81622065428</v>
      </c>
      <c r="N3" s="313">
        <f>M3</f>
        <v>21695.81622065428</v>
      </c>
    </row>
    <row r="4" spans="1:17">
      <c r="A4" s="148" t="s">
        <v>391</v>
      </c>
      <c r="B4" s="313"/>
      <c r="C4" s="313">
        <f>'4. Revenue'!J61</f>
        <v>303.04034618280008</v>
      </c>
      <c r="D4" s="313"/>
      <c r="E4" s="313">
        <v>320.62747580760004</v>
      </c>
      <c r="F4" s="313">
        <v>303.04034618280008</v>
      </c>
      <c r="G4" s="313">
        <v>285.45321655800007</v>
      </c>
      <c r="H4" s="313">
        <v>267.86608693320005</v>
      </c>
      <c r="I4" s="313">
        <v>250.27895730840007</v>
      </c>
      <c r="J4" s="313">
        <v>232</v>
      </c>
      <c r="K4" s="313">
        <v>214</v>
      </c>
      <c r="L4" s="313">
        <v>196</v>
      </c>
      <c r="M4" s="313">
        <v>178</v>
      </c>
      <c r="N4" s="313">
        <v>160</v>
      </c>
    </row>
    <row r="5" spans="1:17">
      <c r="A5" s="148" t="s">
        <v>8</v>
      </c>
      <c r="B5" s="313"/>
      <c r="C5" s="313">
        <f>'4. Revenue'!J60</f>
        <v>502.48941785142864</v>
      </c>
      <c r="D5" s="313"/>
      <c r="E5" s="313">
        <v>502.48941785142864</v>
      </c>
      <c r="F5" s="313">
        <v>502.48941785142864</v>
      </c>
      <c r="G5" s="313">
        <v>502.48941785142864</v>
      </c>
      <c r="H5" s="313">
        <v>502.48941785142864</v>
      </c>
      <c r="I5" s="313">
        <v>502.48941785142864</v>
      </c>
      <c r="J5" s="313">
        <v>502.48941785142864</v>
      </c>
      <c r="K5" s="313">
        <v>502.48941785142864</v>
      </c>
      <c r="L5" s="313">
        <v>502.48941785142864</v>
      </c>
      <c r="M5" s="313">
        <v>502.48941785142864</v>
      </c>
      <c r="N5" s="313">
        <v>502.48941785142864</v>
      </c>
    </row>
    <row r="6" spans="1:17">
      <c r="A6" s="148" t="s">
        <v>114</v>
      </c>
      <c r="B6" s="313">
        <v>7950.1966808390416</v>
      </c>
      <c r="C6" s="313">
        <f>'4. Revenue'!J43</f>
        <v>6373.9228721200698</v>
      </c>
      <c r="D6" s="313">
        <f>SUM(B6:C6)</f>
        <v>14324.119552959111</v>
      </c>
      <c r="E6" s="313">
        <f>$Q$16*(D6/($D$3+$D$6+$D$7+$D$9))</f>
        <v>7132.8199957573306</v>
      </c>
      <c r="F6" s="313">
        <f>C6-SUM('9a. VFM Assessment Cost'!M23:N23)</f>
        <v>7013.4189476638803</v>
      </c>
      <c r="G6" s="313">
        <f>F6</f>
        <v>7013.4189476638803</v>
      </c>
      <c r="H6" s="313">
        <f t="shared" ref="H6:N6" si="0">G6</f>
        <v>7013.4189476638803</v>
      </c>
      <c r="I6" s="313">
        <f t="shared" si="0"/>
        <v>7013.4189476638803</v>
      </c>
      <c r="J6" s="313">
        <f t="shared" si="0"/>
        <v>7013.4189476638803</v>
      </c>
      <c r="K6" s="313">
        <f t="shared" si="0"/>
        <v>7013.4189476638803</v>
      </c>
      <c r="L6" s="313">
        <f t="shared" si="0"/>
        <v>7013.4189476638803</v>
      </c>
      <c r="M6" s="313">
        <f t="shared" si="0"/>
        <v>7013.4189476638803</v>
      </c>
      <c r="N6" s="313">
        <f t="shared" si="0"/>
        <v>7013.4189476638803</v>
      </c>
    </row>
    <row r="7" spans="1:17">
      <c r="A7" s="148" t="s">
        <v>7</v>
      </c>
      <c r="B7" s="313">
        <v>633.49078623085575</v>
      </c>
      <c r="C7" s="313">
        <f>'4. Revenue'!J44</f>
        <v>530.91771415263031</v>
      </c>
      <c r="D7" s="313">
        <f>SUM(B7:C7)</f>
        <v>1164.4085003834862</v>
      </c>
      <c r="E7" s="313">
        <f>$Q$16*(D7/($D$3+$D$6+$D$7+$D$9))</f>
        <v>579.82734673904361</v>
      </c>
      <c r="F7" s="313">
        <f>C7-SUM('9a. VFM Assessment Cost'!M24:N24)</f>
        <v>875.98253499505995</v>
      </c>
      <c r="G7" s="313">
        <f>F7</f>
        <v>875.98253499505995</v>
      </c>
      <c r="H7" s="313">
        <f t="shared" ref="H7:N7" si="1">G7</f>
        <v>875.98253499505995</v>
      </c>
      <c r="I7" s="313">
        <f t="shared" si="1"/>
        <v>875.98253499505995</v>
      </c>
      <c r="J7" s="313">
        <f t="shared" si="1"/>
        <v>875.98253499505995</v>
      </c>
      <c r="K7" s="313">
        <f t="shared" si="1"/>
        <v>875.98253499505995</v>
      </c>
      <c r="L7" s="313">
        <f t="shared" si="1"/>
        <v>875.98253499505995</v>
      </c>
      <c r="M7" s="313">
        <f t="shared" si="1"/>
        <v>875.98253499505995</v>
      </c>
      <c r="N7" s="313">
        <f t="shared" si="1"/>
        <v>875.98253499505995</v>
      </c>
      <c r="Q7" s="148">
        <v>32849.270400592563</v>
      </c>
    </row>
    <row r="8" spans="1:17">
      <c r="A8" s="148" t="s">
        <v>217</v>
      </c>
      <c r="B8" s="313">
        <v>6278.6998271816883</v>
      </c>
      <c r="C8" s="313">
        <f>'4. Revenue'!J45</f>
        <v>3807.1247871106998</v>
      </c>
      <c r="D8" s="313"/>
      <c r="E8" s="313">
        <f>F8</f>
        <v>6581.1777871106997</v>
      </c>
      <c r="F8" s="313">
        <f>C8-'9a. VFM Assessment Cost'!O25</f>
        <v>6581.1777871106997</v>
      </c>
      <c r="G8" s="313">
        <f>F8</f>
        <v>6581.1777871106997</v>
      </c>
      <c r="H8" s="313">
        <f t="shared" ref="H8:N8" si="2">G8</f>
        <v>6581.1777871106997</v>
      </c>
      <c r="I8" s="313">
        <f t="shared" si="2"/>
        <v>6581.1777871106997</v>
      </c>
      <c r="J8" s="313">
        <f t="shared" si="2"/>
        <v>6581.1777871106997</v>
      </c>
      <c r="K8" s="313">
        <f t="shared" si="2"/>
        <v>6581.1777871106997</v>
      </c>
      <c r="L8" s="313">
        <f t="shared" si="2"/>
        <v>6581.1777871106997</v>
      </c>
      <c r="M8" s="313">
        <f t="shared" si="2"/>
        <v>6581.1777871106997</v>
      </c>
      <c r="N8" s="313">
        <f t="shared" si="2"/>
        <v>6581.1777871106997</v>
      </c>
      <c r="Q8" s="148">
        <v>-2300</v>
      </c>
    </row>
    <row r="9" spans="1:17">
      <c r="A9" s="148" t="s">
        <v>218</v>
      </c>
      <c r="B9" s="313"/>
      <c r="C9" s="313">
        <f>'4. Revenue'!J46</f>
        <v>714.77521184268289</v>
      </c>
      <c r="D9" s="313">
        <f>SUM(B9:C9)</f>
        <v>714.77521184268289</v>
      </c>
      <c r="E9" s="313">
        <f>$Q$16*(D9/($D$3+$D$6+$D$7+$D$9))</f>
        <v>355.92853750302152</v>
      </c>
      <c r="F9" s="313">
        <f>C9</f>
        <v>714.77521184268289</v>
      </c>
      <c r="G9" s="313">
        <f t="shared" ref="G9:N9" si="3">F9*(1+G16)</f>
        <v>728.2844633465096</v>
      </c>
      <c r="H9" s="313">
        <f t="shared" si="3"/>
        <v>742.77732416710512</v>
      </c>
      <c r="I9" s="313">
        <f t="shared" si="3"/>
        <v>758.15281477736414</v>
      </c>
      <c r="J9" s="313">
        <f t="shared" si="3"/>
        <v>773.31587107291148</v>
      </c>
      <c r="K9" s="313">
        <f t="shared" si="3"/>
        <v>788.78218849436973</v>
      </c>
      <c r="L9" s="313">
        <f t="shared" si="3"/>
        <v>804.55783226425717</v>
      </c>
      <c r="M9" s="313">
        <f t="shared" si="3"/>
        <v>820.64898890954237</v>
      </c>
      <c r="N9" s="313">
        <f t="shared" si="3"/>
        <v>837.06196868773327</v>
      </c>
      <c r="Q9" s="148">
        <v>-240</v>
      </c>
    </row>
    <row r="10" spans="1:17">
      <c r="B10" s="316">
        <f t="shared" ref="B10:N10" si="4">SUM(B3:B9)</f>
        <v>33672.387294251588</v>
      </c>
      <c r="C10" s="316">
        <f t="shared" si="4"/>
        <v>31185.289657143116</v>
      </c>
      <c r="D10" s="316">
        <f t="shared" si="4"/>
        <v>53966.322573068079</v>
      </c>
      <c r="E10" s="316">
        <f t="shared" si="4"/>
        <v>34277.29468076973</v>
      </c>
      <c r="F10" s="316">
        <f t="shared" si="4"/>
        <v>37446.546945307942</v>
      </c>
      <c r="G10" s="316">
        <f t="shared" si="4"/>
        <v>37481.817708666102</v>
      </c>
      <c r="H10" s="316">
        <f t="shared" si="4"/>
        <v>37516.366924542424</v>
      </c>
      <c r="I10" s="316">
        <f t="shared" si="4"/>
        <v>37553.914240604237</v>
      </c>
      <c r="J10" s="316">
        <f t="shared" si="4"/>
        <v>37612.852137869129</v>
      </c>
      <c r="K10" s="316">
        <f t="shared" si="4"/>
        <v>37671.667096769721</v>
      </c>
      <c r="L10" s="316">
        <f t="shared" si="4"/>
        <v>37669.442740539605</v>
      </c>
      <c r="M10" s="316">
        <f t="shared" si="4"/>
        <v>37667.533897184891</v>
      </c>
      <c r="N10" s="316">
        <f t="shared" si="4"/>
        <v>37665.946876963084</v>
      </c>
    </row>
    <row r="11" spans="1:17">
      <c r="Q11" s="148">
        <f>Q8-Q9</f>
        <v>-2060</v>
      </c>
    </row>
    <row r="12" spans="1:17">
      <c r="E12" s="337">
        <v>-239.99735520940885</v>
      </c>
      <c r="F12" s="316">
        <v>-4050.9590783432177</v>
      </c>
      <c r="G12" s="316">
        <v>-4079.9152488134205</v>
      </c>
      <c r="H12" s="337">
        <v>-4108.8157837239669</v>
      </c>
      <c r="I12" s="316">
        <v>-4138.0434312625985</v>
      </c>
      <c r="Q12" s="148">
        <f>Q11-Q7</f>
        <v>-34909.270400592563</v>
      </c>
    </row>
    <row r="14" spans="1:17">
      <c r="E14" s="148">
        <v>239.72118367541043</v>
      </c>
      <c r="F14" s="148">
        <v>4051.0516103404498</v>
      </c>
      <c r="G14" s="148">
        <v>4080.2470080392268</v>
      </c>
      <c r="H14" s="148">
        <v>4109.6857831866482</v>
      </c>
      <c r="I14" s="148">
        <v>4138.4456123420168</v>
      </c>
      <c r="J14" s="148">
        <v>4145.0606801923022</v>
      </c>
      <c r="K14" s="148">
        <v>4151.1635129450324</v>
      </c>
      <c r="L14" s="148">
        <v>4157.0284023528102</v>
      </c>
      <c r="M14" s="148">
        <v>4162.6505895487453</v>
      </c>
      <c r="N14" s="148">
        <v>4168.0252204885937</v>
      </c>
    </row>
    <row r="15" spans="1:17">
      <c r="Q15" s="148">
        <v>34909</v>
      </c>
    </row>
    <row r="16" spans="1:17" ht="15">
      <c r="F16" s="315">
        <v>2.1999999999999999E-2</v>
      </c>
      <c r="G16" s="315">
        <v>1.89E-2</v>
      </c>
      <c r="H16" s="315">
        <v>1.9900000000000001E-2</v>
      </c>
      <c r="I16" s="315">
        <v>2.07E-2</v>
      </c>
      <c r="J16" s="315">
        <v>0.02</v>
      </c>
      <c r="K16" s="315">
        <v>0.02</v>
      </c>
      <c r="L16" s="315">
        <v>0.02</v>
      </c>
      <c r="M16" s="315">
        <v>0.02</v>
      </c>
      <c r="N16" s="315">
        <v>0.02</v>
      </c>
      <c r="Q16" s="148">
        <f>Q15-8859+823</f>
        <v>26873</v>
      </c>
    </row>
    <row r="18" spans="6:6">
      <c r="F18" s="148">
        <f>4096-4051</f>
        <v>45</v>
      </c>
    </row>
  </sheetData>
  <mergeCells count="1">
    <mergeCell ref="E1:N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17E4C-5DAD-4CFD-AA3E-6CFD5BCAA29E}">
  <dimension ref="A1:R9"/>
  <sheetViews>
    <sheetView topLeftCell="A8" workbookViewId="0">
      <selection activeCell="E16" sqref="E16"/>
    </sheetView>
  </sheetViews>
  <sheetFormatPr baseColWidth="10" defaultColWidth="9.1640625" defaultRowHeight="15"/>
  <cols>
    <col min="1" max="16384" width="9.1640625" style="149"/>
  </cols>
  <sheetData>
    <row r="1" spans="1:18">
      <c r="A1" s="520" t="s">
        <v>394</v>
      </c>
      <c r="B1" s="520" t="s">
        <v>395</v>
      </c>
      <c r="C1" s="522" t="s">
        <v>396</v>
      </c>
      <c r="D1" s="522" t="s">
        <v>397</v>
      </c>
      <c r="E1" s="522" t="s">
        <v>398</v>
      </c>
      <c r="F1" s="520" t="s">
        <v>399</v>
      </c>
      <c r="G1" s="520" t="s">
        <v>34</v>
      </c>
      <c r="H1" s="317">
        <v>0</v>
      </c>
      <c r="I1" s="317">
        <v>1</v>
      </c>
      <c r="J1" s="317">
        <v>2</v>
      </c>
      <c r="K1" s="317">
        <v>3</v>
      </c>
      <c r="L1" s="317">
        <v>4</v>
      </c>
      <c r="M1" s="317">
        <v>5</v>
      </c>
      <c r="N1" s="317">
        <v>6</v>
      </c>
      <c r="O1" s="317">
        <v>7</v>
      </c>
      <c r="P1" s="317">
        <v>8</v>
      </c>
      <c r="Q1" s="317">
        <v>9</v>
      </c>
      <c r="R1" s="317">
        <v>10</v>
      </c>
    </row>
    <row r="2" spans="1:18">
      <c r="A2" s="520"/>
      <c r="B2" s="520"/>
      <c r="C2" s="523"/>
      <c r="D2" s="523"/>
      <c r="E2" s="523"/>
      <c r="F2" s="520"/>
      <c r="G2" s="521"/>
      <c r="H2" s="318" t="str">
        <f>[5]Costs!F4</f>
        <v>2022</v>
      </c>
      <c r="I2" s="318">
        <f>[5]Costs!G4</f>
        <v>2023</v>
      </c>
      <c r="J2" s="318">
        <f>[5]Costs!H4</f>
        <v>2024</v>
      </c>
      <c r="K2" s="318">
        <f>[5]Costs!I4</f>
        <v>2025</v>
      </c>
      <c r="L2" s="318">
        <f>[5]Costs!J4</f>
        <v>2026</v>
      </c>
      <c r="M2" s="318">
        <f>[5]Costs!K4</f>
        <v>2027</v>
      </c>
      <c r="N2" s="318">
        <f>[5]Costs!L4</f>
        <v>2028</v>
      </c>
      <c r="O2" s="318">
        <f>[5]Costs!M4</f>
        <v>2029</v>
      </c>
      <c r="P2" s="318">
        <f>[5]Costs!N4</f>
        <v>2030</v>
      </c>
      <c r="Q2" s="318">
        <f>[5]Costs!O4</f>
        <v>2031</v>
      </c>
      <c r="R2" s="318">
        <f>[5]Costs!P4</f>
        <v>2032</v>
      </c>
    </row>
    <row r="3" spans="1:18">
      <c r="A3" s="324" t="s">
        <v>400</v>
      </c>
      <c r="B3" s="319"/>
      <c r="C3" s="319"/>
      <c r="D3" s="319"/>
      <c r="E3" s="319"/>
      <c r="F3" s="319"/>
      <c r="G3" s="325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</row>
    <row r="4" spans="1:18">
      <c r="A4" s="320" t="s">
        <v>401</v>
      </c>
      <c r="B4" s="327" t="s">
        <v>402</v>
      </c>
      <c r="C4" s="326"/>
      <c r="D4" s="329" t="s">
        <v>403</v>
      </c>
      <c r="E4" s="328" t="s">
        <v>404</v>
      </c>
      <c r="F4" s="332">
        <f>F32</f>
        <v>0</v>
      </c>
      <c r="G4" s="333">
        <f>SUM(H4:BT4)</f>
        <v>0</v>
      </c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</row>
    <row r="5" spans="1:18" ht="209">
      <c r="A5" s="320" t="s">
        <v>405</v>
      </c>
      <c r="B5" s="331" t="s">
        <v>406</v>
      </c>
      <c r="C5" s="335" t="s">
        <v>407</v>
      </c>
      <c r="D5" s="330" t="s">
        <v>408</v>
      </c>
      <c r="E5" s="328" t="s">
        <v>404</v>
      </c>
      <c r="F5" s="332">
        <f>F34</f>
        <v>0</v>
      </c>
      <c r="G5" s="333">
        <f>SUM(H5:BT5)</f>
        <v>18557</v>
      </c>
      <c r="H5" s="334"/>
      <c r="I5" s="334">
        <v>1286</v>
      </c>
      <c r="J5" s="334">
        <v>1919</v>
      </c>
      <c r="K5" s="334">
        <v>1919</v>
      </c>
      <c r="L5" s="334">
        <v>1919</v>
      </c>
      <c r="M5" s="334">
        <v>1919</v>
      </c>
      <c r="N5" s="334">
        <v>1919</v>
      </c>
      <c r="O5" s="334">
        <v>1919</v>
      </c>
      <c r="P5" s="334">
        <v>1919</v>
      </c>
      <c r="Q5" s="334">
        <v>1919</v>
      </c>
      <c r="R5" s="334">
        <v>1919</v>
      </c>
    </row>
    <row r="6" spans="1:18" ht="209">
      <c r="A6" s="320" t="s">
        <v>409</v>
      </c>
      <c r="B6" s="326" t="s">
        <v>410</v>
      </c>
      <c r="C6" s="335" t="s">
        <v>407</v>
      </c>
      <c r="D6" s="330" t="s">
        <v>408</v>
      </c>
      <c r="E6" s="328" t="s">
        <v>404</v>
      </c>
      <c r="F6" s="332">
        <f>F36</f>
        <v>0</v>
      </c>
      <c r="G6" s="333">
        <f>SUM(H6:BT6)</f>
        <v>11130</v>
      </c>
      <c r="H6" s="334"/>
      <c r="I6" s="334">
        <v>771</v>
      </c>
      <c r="J6" s="334">
        <v>1151</v>
      </c>
      <c r="K6" s="334">
        <v>1151</v>
      </c>
      <c r="L6" s="334">
        <v>1151</v>
      </c>
      <c r="M6" s="334">
        <v>1151</v>
      </c>
      <c r="N6" s="334">
        <v>1151</v>
      </c>
      <c r="O6" s="334">
        <v>1151</v>
      </c>
      <c r="P6" s="334">
        <v>1151</v>
      </c>
      <c r="Q6" s="334">
        <v>1151</v>
      </c>
      <c r="R6" s="334">
        <v>1151</v>
      </c>
    </row>
    <row r="7" spans="1:18" ht="209">
      <c r="A7" s="320" t="s">
        <v>411</v>
      </c>
      <c r="B7" s="326" t="s">
        <v>412</v>
      </c>
      <c r="C7" s="335" t="s">
        <v>407</v>
      </c>
      <c r="D7" s="330" t="s">
        <v>408</v>
      </c>
      <c r="E7" s="328" t="s">
        <v>404</v>
      </c>
      <c r="F7" s="332">
        <f>F38</f>
        <v>0</v>
      </c>
      <c r="G7" s="333">
        <f>SUM(H7:BT7)</f>
        <v>24966</v>
      </c>
      <c r="H7" s="334"/>
      <c r="I7" s="334"/>
      <c r="J7" s="334">
        <v>2774</v>
      </c>
      <c r="K7" s="334">
        <v>2774</v>
      </c>
      <c r="L7" s="334">
        <v>2774</v>
      </c>
      <c r="M7" s="334">
        <v>2774</v>
      </c>
      <c r="N7" s="334">
        <v>2774</v>
      </c>
      <c r="O7" s="334">
        <v>2774</v>
      </c>
      <c r="P7" s="334">
        <v>2774</v>
      </c>
      <c r="Q7" s="334">
        <v>2774</v>
      </c>
      <c r="R7" s="334">
        <v>2774</v>
      </c>
    </row>
    <row r="8" spans="1:18">
      <c r="A8" s="320" t="s">
        <v>413</v>
      </c>
      <c r="B8" s="326" t="s">
        <v>414</v>
      </c>
      <c r="C8" s="326" t="s">
        <v>415</v>
      </c>
      <c r="D8" s="330" t="s">
        <v>408</v>
      </c>
      <c r="E8" s="328" t="s">
        <v>404</v>
      </c>
      <c r="F8" s="332">
        <f>F40</f>
        <v>0</v>
      </c>
      <c r="G8" s="333">
        <f>SUM(H8:BT8)</f>
        <v>5434.643446892771</v>
      </c>
      <c r="H8" s="334"/>
      <c r="I8" s="334">
        <v>242.57393872208553</v>
      </c>
      <c r="J8" s="334">
        <v>371.61763286784617</v>
      </c>
      <c r="K8" s="334">
        <v>432.96627434697825</v>
      </c>
      <c r="L8" s="334">
        <v>493.60975902749965</v>
      </c>
      <c r="M8" s="334">
        <v>556.36871410385322</v>
      </c>
      <c r="N8" s="334">
        <v>618.42251238159599</v>
      </c>
      <c r="O8" s="334">
        <v>679.77115386072808</v>
      </c>
      <c r="P8" s="334">
        <v>679.77115386072808</v>
      </c>
      <c r="Q8" s="334">
        <v>679.77115386072808</v>
      </c>
      <c r="R8" s="334">
        <v>679.77115386072808</v>
      </c>
    </row>
    <row r="9" spans="1:18">
      <c r="A9" s="322" t="s">
        <v>416</v>
      </c>
      <c r="B9" s="323"/>
      <c r="C9" s="323"/>
      <c r="D9" s="323"/>
      <c r="E9" s="321"/>
      <c r="F9" s="336">
        <f t="shared" ref="F9:R9" si="0">SUM(F4:F8)</f>
        <v>0</v>
      </c>
      <c r="G9" s="333">
        <f t="shared" si="0"/>
        <v>60087.643446892769</v>
      </c>
      <c r="H9" s="333">
        <f t="shared" si="0"/>
        <v>0</v>
      </c>
      <c r="I9" s="333">
        <f t="shared" si="0"/>
        <v>2299.5739387220856</v>
      </c>
      <c r="J9" s="333">
        <f t="shared" si="0"/>
        <v>6215.6176328678466</v>
      </c>
      <c r="K9" s="333">
        <f t="shared" si="0"/>
        <v>6276.966274346978</v>
      </c>
      <c r="L9" s="333">
        <f t="shared" si="0"/>
        <v>6337.6097590274994</v>
      </c>
      <c r="M9" s="333">
        <f t="shared" si="0"/>
        <v>6400.3687141038536</v>
      </c>
      <c r="N9" s="333">
        <f t="shared" si="0"/>
        <v>6462.4225123815959</v>
      </c>
      <c r="O9" s="333">
        <f t="shared" si="0"/>
        <v>6523.7711538607282</v>
      </c>
      <c r="P9" s="333">
        <f t="shared" si="0"/>
        <v>6523.7711538607282</v>
      </c>
      <c r="Q9" s="333">
        <f t="shared" si="0"/>
        <v>6523.7711538607282</v>
      </c>
      <c r="R9" s="333">
        <f t="shared" si="0"/>
        <v>6523.7711538607282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2">
    <dataValidation type="list" allowBlank="1" showInputMessage="1" showErrorMessage="1" sqref="D5:D8" xr:uid="{51146661-CB48-4ABF-A89A-01C6F676141D}">
      <formula1>"[Please select],Y, N"</formula1>
    </dataValidation>
    <dataValidation type="whole" allowBlank="1" showInputMessage="1" showErrorMessage="1" error="All values must be positive numbers" sqref="H4:R8" xr:uid="{027F256A-CFBA-4745-99D0-FB09C6801315}">
      <formula1>0</formula1>
      <formula2>9.99999999999999E+55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A96970D38A8B498C00C736716CAC9E" ma:contentTypeVersion="10" ma:contentTypeDescription="Create a new document." ma:contentTypeScope="" ma:versionID="71fa77e8434b60d197d4e99f3deeb88e">
  <xsd:schema xmlns:xsd="http://www.w3.org/2001/XMLSchema" xmlns:xs="http://www.w3.org/2001/XMLSchema" xmlns:p="http://schemas.microsoft.com/office/2006/metadata/properties" xmlns:ns2="dc96d746-1fe1-44db-aa0a-6c6a7084446f" xmlns:ns3="b56d29e1-4ca8-4217-a036-d434b65cbf8b" targetNamespace="http://schemas.microsoft.com/office/2006/metadata/properties" ma:root="true" ma:fieldsID="98f3b2c2e96882b43d9ff9b39cd521c6" ns2:_="" ns3:_="">
    <xsd:import namespace="dc96d746-1fe1-44db-aa0a-6c6a7084446f"/>
    <xsd:import namespace="b56d29e1-4ca8-4217-a036-d434b65cbf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d746-1fe1-44db-aa0a-6c6a70844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246a7d0-ff67-4d2e-9059-37c47f94a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d29e1-4ca8-4217-a036-d434b65cbf8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bf4fbe9-423d-459a-972d-d13d59c7be69}" ma:internalName="TaxCatchAll" ma:showField="CatchAllData" ma:web="b56d29e1-4ca8-4217-a036-d434b65cbf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96d746-1fe1-44db-aa0a-6c6a7084446f">
      <Terms xmlns="http://schemas.microsoft.com/office/infopath/2007/PartnerControls"/>
    </lcf76f155ced4ddcb4097134ff3c332f>
    <TaxCatchAll xmlns="b56d29e1-4ca8-4217-a036-d434b65cbf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39A52C-B0C5-4425-BA85-9CD1D328A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96d746-1fe1-44db-aa0a-6c6a7084446f"/>
    <ds:schemaRef ds:uri="b56d29e1-4ca8-4217-a036-d434b65cb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070070-C61B-44AE-B7DB-03ED27C9E472}">
  <ds:schemaRefs>
    <ds:schemaRef ds:uri="http://schemas.microsoft.com/office/2006/metadata/properties"/>
    <ds:schemaRef ds:uri="http://www.w3.org/XML/1998/namespace"/>
    <ds:schemaRef ds:uri="http://purl.org/dc/terms/"/>
    <ds:schemaRef ds:uri="dc96d746-1fe1-44db-aa0a-6c6a7084446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56d29e1-4ca8-4217-a036-d434b65cbf8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3C3E97-24FC-450C-9E40-86D7759FEB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</vt:i4>
      </vt:variant>
    </vt:vector>
  </HeadingPairs>
  <TitlesOfParts>
    <vt:vector size="36" baseType="lpstr">
      <vt:lpstr>Contents</vt:lpstr>
      <vt:lpstr>1. Instructions</vt:lpstr>
      <vt:lpstr>2. Standing data</vt:lpstr>
      <vt:lpstr>3. Summary</vt:lpstr>
      <vt:lpstr>4. Revenue</vt:lpstr>
      <vt:lpstr>5. Capital</vt:lpstr>
      <vt:lpstr>7c. Capital Charges</vt:lpstr>
      <vt:lpstr>6a. Economic (DCF)</vt:lpstr>
      <vt:lpstr>Sheet4</vt:lpstr>
      <vt:lpstr>7a. Income and Activity</vt:lpstr>
      <vt:lpstr>7b. Activity Phasing</vt:lpstr>
      <vt:lpstr>7c. Validated Activity &amp; £</vt:lpstr>
      <vt:lpstr>8a. National Cost Collection</vt:lpstr>
      <vt:lpstr>8b. Residual Overhead Costs</vt:lpstr>
      <vt:lpstr>Sheet1</vt:lpstr>
      <vt:lpstr>9a. Workforce</vt:lpstr>
      <vt:lpstr>9b. Workforce Phasing</vt:lpstr>
      <vt:lpstr>9c. Workforce Summary</vt:lpstr>
      <vt:lpstr>10a. Sensitivity Optimism Bias</vt:lpstr>
      <vt:lpstr>10b. Sensitivity Inner London</vt:lpstr>
      <vt:lpstr>10d. Sensitivity LOS</vt:lpstr>
      <vt:lpstr>10e. SensitivityAverageTheatre</vt:lpstr>
      <vt:lpstr>10f. Sensitivity Temp Staffing</vt:lpstr>
      <vt:lpstr>10g. SensitivityProcurement</vt:lpstr>
      <vt:lpstr>10h. SensitivityVacantMargin</vt:lpstr>
      <vt:lpstr>10i. Sensitivity Scale</vt:lpstr>
      <vt:lpstr>11. Trust Addenda</vt:lpstr>
      <vt:lpstr>8b. Sensitivity Inner London</vt:lpstr>
      <vt:lpstr>Sheet3</vt:lpstr>
      <vt:lpstr>Sheet2</vt:lpstr>
      <vt:lpstr>9a. VFM Assessment Cost</vt:lpstr>
      <vt:lpstr>9b. VFM Costs</vt:lpstr>
      <vt:lpstr>9c. VFM Incremental Activity</vt:lpstr>
      <vt:lpstr>'10a. Sensitivity Optimism Bias'!Print_Area</vt:lpstr>
      <vt:lpstr>'10f. Sensitivity Temp Staffing'!Print_Area</vt:lpstr>
      <vt:lpstr>'4. Revenue'!Print_Area</vt:lpstr>
    </vt:vector>
  </TitlesOfParts>
  <Company>NWLH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Sharp</dc:creator>
  <cp:lastModifiedBy>India Triay Palazuelo</cp:lastModifiedBy>
  <cp:lastPrinted>2020-10-13T08:24:27Z</cp:lastPrinted>
  <dcterms:created xsi:type="dcterms:W3CDTF">2020-07-08T15:20:41Z</dcterms:created>
  <dcterms:modified xsi:type="dcterms:W3CDTF">2023-03-31T08:52:53Z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0x0101003FA96970D38A8B498C00C736716CAC9E</vt:lpwstr>
  </property>
  <property fmtid="{D5CDD505-2E9C-101B-9397-08002B2CF9AE}" pid="3" name="MediaServiceImageTags">
    <vt:lpwstr/>
  </property>
</Properties>
</file>