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mesbl\Documents\2. Working files\Electives\"/>
    </mc:Choice>
  </mc:AlternateContent>
  <xr:revisionPtr revIDLastSave="0" documentId="8_{2580956F-D007-4359-8AC8-FF02D088F82F}" xr6:coauthVersionLast="47" xr6:coauthVersionMax="47" xr10:uidLastSave="{00000000-0000-0000-0000-000000000000}"/>
  <bookViews>
    <workbookView xWindow="57480" yWindow="-120" windowWidth="29040" windowHeight="15840" xr2:uid="{E114AB2D-C514-431E-AFB0-5DF861AB300F}"/>
  </bookViews>
  <sheets>
    <sheet name="EOC Societal Benefits" sheetId="1" r:id="rId1"/>
    <sheet name="ONS Salary and Employment" sheetId="2" r:id="rId2"/>
    <sheet name="ASA - NAP7" sheetId="3" r:id="rId3"/>
  </sheets>
  <externalReferences>
    <externalReference r:id="rId4"/>
  </externalReferences>
  <definedNames>
    <definedName name="additional_activity">'[1]EOC Additional activity'!$E$6:$K$13</definedName>
    <definedName name="Location">'[1]EOC Additional activity'!$D$6:$D$13</definedName>
    <definedName name="Time_period">'[1]EOC Additional activity'!$E$5:$K$5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1" i="1" l="1"/>
  <c r="I21" i="1"/>
  <c r="G21" i="1"/>
  <c r="E28" i="1"/>
  <c r="E23" i="1"/>
  <c r="E26" i="1"/>
  <c r="E20" i="1"/>
  <c r="E39" i="1"/>
  <c r="H34" i="1" s="1"/>
  <c r="M22" i="3"/>
  <c r="F32" i="3" s="1"/>
  <c r="L21" i="3"/>
  <c r="K21" i="3"/>
  <c r="I21" i="3"/>
  <c r="F21" i="3"/>
  <c r="K20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P12" i="3"/>
  <c r="J22" i="3" s="1"/>
  <c r="P11" i="3"/>
  <c r="H21" i="3" s="1"/>
  <c r="P10" i="3"/>
  <c r="N20" i="3" s="1"/>
  <c r="G30" i="3" s="1"/>
  <c r="P9" i="3"/>
  <c r="L19" i="3" s="1"/>
  <c r="P8" i="3"/>
  <c r="J18" i="3" s="1"/>
  <c r="P7" i="3"/>
  <c r="H17" i="3" s="1"/>
  <c r="D27" i="2"/>
  <c r="I34" i="1" l="1"/>
  <c r="G34" i="1"/>
  <c r="I20" i="3"/>
  <c r="N22" i="3"/>
  <c r="G32" i="3" s="1"/>
  <c r="N18" i="3"/>
  <c r="G28" i="3" s="1"/>
  <c r="G19" i="3"/>
  <c r="J20" i="3"/>
  <c r="O22" i="3"/>
  <c r="H32" i="3" s="1"/>
  <c r="G22" i="3"/>
  <c r="H19" i="3"/>
  <c r="C17" i="3"/>
  <c r="I19" i="3"/>
  <c r="L20" i="3"/>
  <c r="K17" i="3"/>
  <c r="O19" i="3"/>
  <c r="H29" i="3" s="1"/>
  <c r="O20" i="3"/>
  <c r="H30" i="3" s="1"/>
  <c r="M21" i="3"/>
  <c r="F31" i="3" s="1"/>
  <c r="E18" i="3"/>
  <c r="C20" i="3"/>
  <c r="C21" i="3"/>
  <c r="N21" i="3"/>
  <c r="G31" i="3" s="1"/>
  <c r="F18" i="3"/>
  <c r="D20" i="3"/>
  <c r="C30" i="3" s="1"/>
  <c r="D21" i="3"/>
  <c r="E22" i="3"/>
  <c r="M18" i="3"/>
  <c r="F28" i="3" s="1"/>
  <c r="G20" i="3"/>
  <c r="E21" i="3"/>
  <c r="D31" i="3" s="1"/>
  <c r="F22" i="3"/>
  <c r="D17" i="3"/>
  <c r="C27" i="3" s="1"/>
  <c r="E17" i="3"/>
  <c r="I17" i="3"/>
  <c r="C18" i="3"/>
  <c r="K18" i="3"/>
  <c r="E19" i="3"/>
  <c r="M19" i="3"/>
  <c r="F29" i="3" s="1"/>
  <c r="C22" i="3"/>
  <c r="K22" i="3"/>
  <c r="J17" i="3"/>
  <c r="D18" i="3"/>
  <c r="L18" i="3"/>
  <c r="F19" i="3"/>
  <c r="N19" i="3"/>
  <c r="G29" i="3" s="1"/>
  <c r="H20" i="3"/>
  <c r="J21" i="3"/>
  <c r="D22" i="3"/>
  <c r="L22" i="3"/>
  <c r="G18" i="3"/>
  <c r="F17" i="3"/>
  <c r="N17" i="3"/>
  <c r="G27" i="3" s="1"/>
  <c r="G36" i="3" s="1"/>
  <c r="H18" i="3"/>
  <c r="O18" i="3"/>
  <c r="H28" i="3" s="1"/>
  <c r="J19" i="3"/>
  <c r="P13" i="3"/>
  <c r="G17" i="3"/>
  <c r="O17" i="3"/>
  <c r="H27" i="3" s="1"/>
  <c r="I18" i="3"/>
  <c r="C19" i="3"/>
  <c r="K19" i="3"/>
  <c r="E20" i="3"/>
  <c r="M20" i="3"/>
  <c r="F30" i="3" s="1"/>
  <c r="G21" i="3"/>
  <c r="O21" i="3"/>
  <c r="H31" i="3" s="1"/>
  <c r="I22" i="3"/>
  <c r="C31" i="3"/>
  <c r="L17" i="3"/>
  <c r="M17" i="3"/>
  <c r="F27" i="3" s="1"/>
  <c r="H22" i="3"/>
  <c r="D19" i="3"/>
  <c r="F20" i="3"/>
  <c r="E29" i="3" l="1"/>
  <c r="E32" i="3"/>
  <c r="D30" i="3"/>
  <c r="E30" i="3"/>
  <c r="F36" i="3"/>
  <c r="E31" i="3"/>
  <c r="P17" i="3"/>
  <c r="E28" i="3"/>
  <c r="D28" i="3"/>
  <c r="D32" i="3"/>
  <c r="P18" i="3"/>
  <c r="C28" i="3"/>
  <c r="C36" i="3" s="1"/>
  <c r="C32" i="3"/>
  <c r="P22" i="3"/>
  <c r="H36" i="3"/>
  <c r="E40" i="3" s="1"/>
  <c r="D29" i="3"/>
  <c r="P21" i="3"/>
  <c r="P19" i="3"/>
  <c r="C29" i="3"/>
  <c r="E27" i="3"/>
  <c r="D27" i="3"/>
  <c r="P20" i="3"/>
  <c r="D36" i="3" l="1"/>
  <c r="C40" i="3" s="1"/>
  <c r="E36" i="3"/>
  <c r="D40" i="3" s="1"/>
  <c r="E22" i="1" l="1"/>
  <c r="E21" i="1"/>
  <c r="I7" i="1"/>
  <c r="H7" i="1"/>
  <c r="G7" i="1"/>
  <c r="E15" i="1" l="1"/>
  <c r="C18" i="2"/>
  <c r="C19" i="2"/>
  <c r="F3" i="2"/>
  <c r="C28" i="2" s="1"/>
  <c r="F4" i="2"/>
  <c r="C29" i="2" s="1"/>
  <c r="F5" i="2"/>
  <c r="C30" i="2" s="1"/>
  <c r="F6" i="2"/>
  <c r="C31" i="2" s="1"/>
  <c r="F7" i="2"/>
  <c r="C32" i="2" s="1"/>
  <c r="F8" i="2"/>
  <c r="C33" i="2" s="1"/>
  <c r="F2" i="2"/>
  <c r="C27" i="2" s="1"/>
  <c r="D9" i="2"/>
  <c r="C3" i="2"/>
  <c r="C4" i="2"/>
  <c r="C5" i="2"/>
  <c r="C6" i="2"/>
  <c r="C7" i="2"/>
  <c r="C8" i="2"/>
  <c r="C2" i="2"/>
  <c r="E14" i="1"/>
  <c r="E11" i="1"/>
  <c r="C16" i="2" l="1"/>
  <c r="F9" i="2"/>
  <c r="C14" i="2"/>
  <c r="C17" i="2"/>
  <c r="C15" i="2"/>
  <c r="C13" i="2"/>
  <c r="G8" i="2"/>
  <c r="I11" i="1"/>
  <c r="H11" i="1"/>
  <c r="G11" i="1"/>
  <c r="E31" i="1"/>
  <c r="E32" i="1" l="1"/>
  <c r="I30" i="1" s="1"/>
  <c r="C34" i="2"/>
  <c r="C20" i="2"/>
  <c r="G3" i="2"/>
  <c r="G4" i="2"/>
  <c r="G5" i="2"/>
  <c r="G7" i="2"/>
  <c r="G6" i="2"/>
  <c r="G2" i="2"/>
  <c r="G30" i="1" l="1"/>
  <c r="H30" i="1"/>
  <c r="D19" i="2"/>
  <c r="D18" i="2"/>
  <c r="D28" i="2"/>
  <c r="D29" i="2"/>
  <c r="D30" i="2"/>
  <c r="D31" i="2"/>
  <c r="D32" i="2"/>
  <c r="D33" i="2"/>
  <c r="G9" i="2"/>
  <c r="E17" i="1" s="1"/>
  <c r="E27" i="1" s="1"/>
  <c r="D15" i="2"/>
  <c r="D17" i="2"/>
  <c r="D16" i="2"/>
  <c r="D13" i="2"/>
  <c r="D14" i="2"/>
  <c r="D20" i="2" l="1"/>
  <c r="E16" i="1" s="1"/>
  <c r="D34" i="2"/>
  <c r="I14" i="1" l="1"/>
  <c r="H14" i="1"/>
  <c r="G14" i="1"/>
  <c r="I40" i="1" l="1"/>
  <c r="G40" i="1"/>
  <c r="H40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Wendy Harrowell</author>
  </authors>
  <commentList>
    <comment ref="G4" authorId="0" shapeId="0" xr:uid="{1CB157A5-1AAB-4D74-B7DA-2F51D0EE8C4E}">
      <text>
        <r>
          <rPr>
            <b/>
            <sz val="9"/>
            <color rgb="FF000000"/>
            <rFont val="Tahoma"/>
            <family val="2"/>
          </rPr>
          <t>Wendy Harrowell:</t>
        </r>
        <r>
          <rPr>
            <sz val="9"/>
            <color rgb="FF000000"/>
            <rFont val="Tahoma"/>
            <family val="2"/>
          </rPr>
          <t xml:space="preserve">
</t>
        </r>
        <r>
          <rPr>
            <sz val="9"/>
            <color rgb="FF000000"/>
            <rFont val="Tahoma"/>
            <family val="2"/>
          </rPr>
          <t>Higher occupied beds for lower activity as BRP commences in Year 2</t>
        </r>
      </text>
    </comment>
  </commentList>
</comments>
</file>

<file path=xl/sharedStrings.xml><?xml version="1.0" encoding="utf-8"?>
<sst xmlns="http://schemas.openxmlformats.org/spreadsheetml/2006/main" count="188" uniqueCount="119">
  <si>
    <t>EOC Societal Benefits - for FBC</t>
  </si>
  <si>
    <t>Theme</t>
  </si>
  <si>
    <t>Description</t>
  </si>
  <si>
    <t>Unit of Measurement (Calculation)</t>
  </si>
  <si>
    <t xml:space="preserve">Unit of Measure </t>
  </si>
  <si>
    <t>Unit of Measure (Value)</t>
  </si>
  <si>
    <t>Data Source</t>
  </si>
  <si>
    <t>Total Sum of Economic Value £ (Year One)</t>
  </si>
  <si>
    <t>Total Sum of Economic Value £  (Year Two)</t>
  </si>
  <si>
    <t>Total Sum of Economic Value £ (Year Three)</t>
  </si>
  <si>
    <t>Assumptions</t>
  </si>
  <si>
    <t>Benefits Realisation Plan Impact (% reflection of phasing of benefits)</t>
  </si>
  <si>
    <t>Activity Changes (Year One Mobilisation)</t>
  </si>
  <si>
    <t>Clinical</t>
  </si>
  <si>
    <t>GIRFT BP Benefits</t>
  </si>
  <si>
    <t>Impact to a patients long term quality of life as a consequence of fewer readmissions</t>
  </si>
  <si>
    <t xml:space="preserve"> - 6 months faster recovery (0.5 of a year) (X) The number of patient impacted (X) Qaly Value (Quality of Additional Life Years) - £19,802 (Year of Better Quality Health)</t>
  </si>
  <si>
    <t>Period of accelerated recovery (Years)</t>
  </si>
  <si>
    <t>DMBC</t>
  </si>
  <si>
    <t>Elective Inpatients</t>
  </si>
  <si>
    <t>Inpatient EOC (Patients - First Full Year)</t>
  </si>
  <si>
    <t>Adjusted to align with Benefits Realisation Plan</t>
  </si>
  <si>
    <t>% Improvement in Readmission  Rate</t>
  </si>
  <si>
    <t xml:space="preserve">Qaly Value (Annual Quality of Living £) </t>
  </si>
  <si>
    <t>https://www.nice.org.uk/glossary?letter=q</t>
  </si>
  <si>
    <t>Reduced Waiting Time between decision for Surgery and Surgery Taking Place</t>
  </si>
  <si>
    <t>Impact to a patients long term quality of life as a consequence of faster access to treatment</t>
  </si>
  <si>
    <t xml:space="preserve"> - DMBC predicted fall in Waiting Times (3 - 5 Weeks) (X) The number of patient impacted (X) Qaly Value (Quality of Additional Life Years) - £19,802 (Year of Better Quality Health)</t>
  </si>
  <si>
    <t>Reduced Waiting List Wait (Low DMBC Range expressed as Years)</t>
  </si>
  <si>
    <t>Total Day Case and Inpatients  (Patients - First Full Year)</t>
  </si>
  <si>
    <t>Return to Work</t>
  </si>
  <si>
    <t>Reduced Waiting List Wait (Low DMBC Range expressed as years)</t>
  </si>
  <si>
    <t>Employment Rate (NWL Average)</t>
  </si>
  <si>
    <t>Over 16s as per ONS - economically active and in employment (excluding students)</t>
  </si>
  <si>
    <t>Annual Salary (NWL Average)</t>
  </si>
  <si>
    <t>Average salary as per ONS</t>
  </si>
  <si>
    <t>% Sickness (London)</t>
  </si>
  <si>
    <t>ONS London sick rate in 2019 (pre Covid)</t>
  </si>
  <si>
    <t xml:space="preserve">% Sickness for MSK </t>
  </si>
  <si>
    <t>ONS Labour Market Survey 2021</t>
  </si>
  <si>
    <t>Community Impact</t>
  </si>
  <si>
    <t>Commercial Footfall</t>
  </si>
  <si>
    <t xml:space="preserve">Economic impact on spending </t>
  </si>
  <si>
    <t>Total Number of Visitors (Equal to the Number)</t>
  </si>
  <si>
    <t>Environmental Impact</t>
  </si>
  <si>
    <t>Increased Travel to Care</t>
  </si>
  <si>
    <t>Increased cost of carbon emissions for increased travel to care</t>
  </si>
  <si>
    <r>
      <t xml:space="preserve"> - % Patients that use a Car (X) Average Miles Travel (Increase from EOC)(X) Average Car Carbon Emissions (X) Carbon Cost Per Ton </t>
    </r>
    <r>
      <rPr>
        <b/>
        <sz val="9"/>
        <color theme="1"/>
        <rFont val="Calibri"/>
        <family val="2"/>
        <scheme val="minor"/>
      </rPr>
      <t>(Adverse)</t>
    </r>
  </si>
  <si>
    <t>Number of EOC Patients Changing Journey Pattern</t>
  </si>
  <si>
    <t xml:space="preserve">Average Incremental Additional Miles (Number of Miles) </t>
  </si>
  <si>
    <t>Average Salary Per Week £</t>
  </si>
  <si>
    <t>Annual Salary £</t>
  </si>
  <si>
    <t xml:space="preserve">Population </t>
  </si>
  <si>
    <t>16-64 Years Old</t>
  </si>
  <si>
    <t>Adult Population</t>
  </si>
  <si>
    <t>Weighted Salary (Based on Population) £</t>
  </si>
  <si>
    <t>Brent</t>
  </si>
  <si>
    <t>Harrow</t>
  </si>
  <si>
    <t>Ealing</t>
  </si>
  <si>
    <t>Hounslow</t>
  </si>
  <si>
    <t>Hillingdon</t>
  </si>
  <si>
    <t>Hammersmith &amp; Fulham</t>
  </si>
  <si>
    <t>Kensington &amp; Chelsea</t>
  </si>
  <si>
    <t>% Active Employment</t>
  </si>
  <si>
    <t>Weighted % Active Employment</t>
  </si>
  <si>
    <t>https://www.healthwatch.co.uk/sites/healthwatch.co.uk/files/20191016%20People%27s%20experiences%20of%20patient%20transport%20Formatted%20final.pdf</t>
  </si>
  <si>
    <t>https://www.gov.uk/government/publications/determinations-of-the-uk-ets-carbon-price/uk-ets-carbon-prices-for-use-in-civil-penalties-2023</t>
  </si>
  <si>
    <t>https://www.epa.gov/greenvehicles/greenhouse-gas-emissions-typical-passenger-vehicle</t>
  </si>
  <si>
    <t>Weighted % Economic Inactivity Rate</t>
  </si>
  <si>
    <t>Economic Inactivity Rate 2021/22</t>
  </si>
  <si>
    <t>Economic inactivity due to long term ill health (National, 16-64)</t>
  </si>
  <si>
    <t>Universal Credit Income (Annual Income)</t>
  </si>
  <si>
    <t>DWP</t>
  </si>
  <si>
    <t>ASA and age from NAP 7</t>
  </si>
  <si>
    <t>Source: Appendix NAP7, RCOA</t>
  </si>
  <si>
    <t>https://associationofanaesthetists-publications.onlinelibrary.wiley.com/doi/10.1111/anae.15989</t>
  </si>
  <si>
    <t>RAW</t>
  </si>
  <si>
    <t>ASA</t>
  </si>
  <si>
    <t>&lt;28d</t>
  </si>
  <si>
    <t>28d to 1</t>
  </si>
  <si>
    <t>1 to 5</t>
  </si>
  <si>
    <t>6 to 15</t>
  </si>
  <si>
    <t>16 to 18</t>
  </si>
  <si>
    <t>19 to 25</t>
  </si>
  <si>
    <t>26 to 35</t>
  </si>
  <si>
    <t>36 to 45</t>
  </si>
  <si>
    <t>46 to 55</t>
  </si>
  <si>
    <t>56 to 65</t>
  </si>
  <si>
    <t>66 to 75</t>
  </si>
  <si>
    <t>76 to 85</t>
  </si>
  <si>
    <t>Over 85</t>
  </si>
  <si>
    <t>Total</t>
  </si>
  <si>
    <t>SHARE OF ASA</t>
  </si>
  <si>
    <t>0 to 1</t>
  </si>
  <si>
    <t>1 to 15</t>
  </si>
  <si>
    <t>16 to 65</t>
  </si>
  <si>
    <t>Share of ASA</t>
  </si>
  <si>
    <t>1 &amp; 2</t>
  </si>
  <si>
    <t>65+</t>
  </si>
  <si>
    <t>&lt;15</t>
  </si>
  <si>
    <t>Average Car Carbon Emissions (kg  of CO2 per mile)</t>
  </si>
  <si>
    <t>Carbon Cost Per kg (£)</t>
  </si>
  <si>
    <t>Costa Coffee. 2023</t>
  </si>
  <si>
    <t>% Patients that use a car to travel to hospital</t>
  </si>
  <si>
    <t>Average price of a hot beverage (£)</t>
  </si>
  <si>
    <t>IIA (assumed off peak travel, average speed 20mph)</t>
  </si>
  <si>
    <t>RCoA NAP7</t>
  </si>
  <si>
    <t>% ASA 1-2 patients aged 16 to 65</t>
  </si>
  <si>
    <t xml:space="preserve"> - Reduction in lost Sick Days - DMBC predicted fall in Waiting Times (3 - 5 Weeks) (X) Employment Rate (NWL Specific Employment Rate) The number of patient impacted (X) Average Salary in NWL (X) MSK Reason - Not Working (X) Proportion of ASA 1 &amp; 2 patients who are aged 16 to 65</t>
  </si>
  <si>
    <t>https://www.versusarthritis.org/media/2071/working-with-arthritis-policy-report.pdf</t>
  </si>
  <si>
    <t>Economically inactivity due to ill health with an MSK condition of working age (National, 16-64)</t>
  </si>
  <si>
    <t>5% reduction in Car Carbon Emissions due to ULEZ</t>
  </si>
  <si>
    <t>https://www.fleetnews.co.uk/news/environment/2022/02/15/ulez-cuts-nox-emissions-in-london-by-almost-54</t>
  </si>
  <si>
    <t>Economic inactivity (NWL Average)</t>
  </si>
  <si>
    <t>https://www.ons.gov.uk/employmentandlabourmarket/peoplenotinwork/economic inactivity/timeseries/lf75/lms</t>
  </si>
  <si>
    <t>Reduction in patients days off sick from employment as a consequence of faster access to treatment</t>
  </si>
  <si>
    <t>Reduction in patients who need unemployment support and can return to economic activity as a consquence of faster access to treatment</t>
  </si>
  <si>
    <t xml:space="preserve"> - Return to workforce due to ill health from MSK condition - DMBC predicted fall in Waiting Times (3 - 5 Weeks) (X) NWL Economic Inactivty (X) Inactivity due to long term ill health (X) Economic inactivity with a MSK condition (X) (Welfare support and salary on return to work) (X) Proportion of ASA 1 &amp; 2 patients who are aged 16 to 65</t>
  </si>
  <si>
    <t xml:space="preserve"> - Average price of a hot beverage as representative expenditure (X) Number of Patients + 1 Visitor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</si>
</sst>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6" formatCode="&quot;£&quot;#,##0;[Red]\-&quot;£&quot;#,##0"/>
    <numFmt numFmtId="42" formatCode="_-&quot;£&quot;* #,##0_-;\-&quot;£&quot;* #,##0_-;_-&quot;£&quot;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&quot;£&quot;* #,##0.00_);_(&quot;£&quot;* \(#,##0.00\);_(&quot;£&quot;* &quot;-&quot;??_);_(@_)"/>
    <numFmt numFmtId="165" formatCode="#,##0_ ;[Red]\-#,##0\ "/>
    <numFmt numFmtId="166" formatCode="0.0%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sz val="9"/>
      <color rgb="FF000000"/>
      <name val="Tahoma"/>
      <family val="2"/>
    </font>
    <font>
      <sz val="9"/>
      <color rgb="FF00000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</borders>
  <cellStyleXfs count="7">
    <xf numFmtId="0" fontId="0" fillId="0" borderId="0"/>
    <xf numFmtId="43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</cellStyleXfs>
  <cellXfs count="106">
    <xf numFmtId="0" fontId="0" fillId="0" borderId="0" xfId="0"/>
    <xf numFmtId="0" fontId="3" fillId="2" borderId="0" xfId="0" applyFont="1" applyFill="1"/>
    <xf numFmtId="0" fontId="3" fillId="2" borderId="0" xfId="0" applyFont="1" applyFill="1" applyAlignment="1">
      <alignment wrapText="1"/>
    </xf>
    <xf numFmtId="0" fontId="4" fillId="2" borderId="0" xfId="0" applyFont="1" applyFill="1" applyAlignment="1">
      <alignment horizontal="left"/>
    </xf>
    <xf numFmtId="0" fontId="3" fillId="2" borderId="0" xfId="0" applyFont="1" applyFill="1" applyAlignment="1">
      <alignment horizontal="left" wrapText="1"/>
    </xf>
    <xf numFmtId="0" fontId="3" fillId="2" borderId="0" xfId="0" applyFont="1" applyFill="1" applyAlignment="1">
      <alignment horizontal="left" vertical="center" wrapText="1"/>
    </xf>
    <xf numFmtId="0" fontId="3" fillId="2" borderId="1" xfId="0" applyFont="1" applyFill="1" applyBorder="1" applyAlignment="1">
      <alignment horizontal="left" wrapText="1"/>
    </xf>
    <xf numFmtId="0" fontId="3" fillId="2" borderId="1" xfId="0" applyFont="1" applyFill="1" applyBorder="1" applyAlignment="1">
      <alignment wrapText="1"/>
    </xf>
    <xf numFmtId="0" fontId="3" fillId="2" borderId="1" xfId="0" applyFont="1" applyFill="1" applyBorder="1"/>
    <xf numFmtId="6" fontId="3" fillId="2" borderId="1" xfId="0" applyNumberFormat="1" applyFont="1" applyFill="1" applyBorder="1" applyAlignment="1">
      <alignment wrapText="1"/>
    </xf>
    <xf numFmtId="43" fontId="3" fillId="2" borderId="1" xfId="1" applyFont="1" applyFill="1" applyBorder="1" applyAlignment="1">
      <alignment wrapText="1"/>
    </xf>
    <xf numFmtId="10" fontId="3" fillId="2" borderId="1" xfId="0" applyNumberFormat="1" applyFont="1" applyFill="1" applyBorder="1" applyAlignment="1">
      <alignment wrapText="1"/>
    </xf>
    <xf numFmtId="0" fontId="3" fillId="2" borderId="3" xfId="0" applyFont="1" applyFill="1" applyBorder="1" applyAlignment="1">
      <alignment wrapText="1"/>
    </xf>
    <xf numFmtId="0" fontId="3" fillId="2" borderId="5" xfId="0" applyFont="1" applyFill="1" applyBorder="1" applyAlignment="1">
      <alignment horizontal="left" wrapText="1"/>
    </xf>
    <xf numFmtId="0" fontId="3" fillId="2" borderId="5" xfId="0" applyFont="1" applyFill="1" applyBorder="1"/>
    <xf numFmtId="0" fontId="3" fillId="2" borderId="6" xfId="0" applyFont="1" applyFill="1" applyBorder="1" applyAlignment="1">
      <alignment wrapText="1"/>
    </xf>
    <xf numFmtId="0" fontId="3" fillId="2" borderId="8" xfId="0" applyFont="1" applyFill="1" applyBorder="1" applyAlignment="1">
      <alignment horizontal="left" wrapText="1"/>
    </xf>
    <xf numFmtId="10" fontId="3" fillId="2" borderId="8" xfId="0" applyNumberFormat="1" applyFont="1" applyFill="1" applyBorder="1" applyAlignment="1">
      <alignment wrapText="1"/>
    </xf>
    <xf numFmtId="0" fontId="3" fillId="2" borderId="8" xfId="0" applyFont="1" applyFill="1" applyBorder="1"/>
    <xf numFmtId="0" fontId="3" fillId="2" borderId="9" xfId="0" applyFont="1" applyFill="1" applyBorder="1" applyAlignment="1">
      <alignment wrapText="1"/>
    </xf>
    <xf numFmtId="0" fontId="3" fillId="2" borderId="11" xfId="0" applyFont="1" applyFill="1" applyBorder="1" applyAlignment="1">
      <alignment horizontal="left" wrapText="1"/>
    </xf>
    <xf numFmtId="0" fontId="3" fillId="2" borderId="11" xfId="0" applyFont="1" applyFill="1" applyBorder="1" applyAlignment="1">
      <alignment wrapText="1"/>
    </xf>
    <xf numFmtId="0" fontId="3" fillId="2" borderId="12" xfId="0" applyFont="1" applyFill="1" applyBorder="1" applyAlignment="1">
      <alignment wrapText="1"/>
    </xf>
    <xf numFmtId="0" fontId="4" fillId="3" borderId="13" xfId="0" applyFont="1" applyFill="1" applyBorder="1" applyAlignment="1">
      <alignment horizontal="left" wrapText="1"/>
    </xf>
    <xf numFmtId="0" fontId="4" fillId="3" borderId="14" xfId="0" applyFont="1" applyFill="1" applyBorder="1" applyAlignment="1">
      <alignment wrapText="1"/>
    </xf>
    <xf numFmtId="0" fontId="3" fillId="3" borderId="14" xfId="0" applyFont="1" applyFill="1" applyBorder="1" applyAlignment="1">
      <alignment wrapText="1"/>
    </xf>
    <xf numFmtId="0" fontId="3" fillId="3" borderId="14" xfId="0" applyFont="1" applyFill="1" applyBorder="1" applyAlignment="1">
      <alignment horizontal="left" wrapText="1"/>
    </xf>
    <xf numFmtId="0" fontId="3" fillId="3" borderId="14" xfId="0" applyFont="1" applyFill="1" applyBorder="1"/>
    <xf numFmtId="0" fontId="3" fillId="3" borderId="15" xfId="0" applyFont="1" applyFill="1" applyBorder="1" applyAlignment="1">
      <alignment wrapText="1"/>
    </xf>
    <xf numFmtId="0" fontId="5" fillId="4" borderId="17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wrapText="1"/>
    </xf>
    <xf numFmtId="0" fontId="4" fillId="3" borderId="20" xfId="0" applyFont="1" applyFill="1" applyBorder="1" applyAlignment="1">
      <alignment wrapText="1"/>
    </xf>
    <xf numFmtId="0" fontId="4" fillId="3" borderId="21" xfId="0" applyFont="1" applyFill="1" applyBorder="1" applyAlignment="1">
      <alignment wrapText="1"/>
    </xf>
    <xf numFmtId="0" fontId="5" fillId="4" borderId="16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vertical="center" wrapText="1"/>
    </xf>
    <xf numFmtId="0" fontId="5" fillId="4" borderId="17" xfId="0" applyFont="1" applyFill="1" applyBorder="1" applyAlignment="1">
      <alignment horizontal="left" vertical="center" wrapText="1"/>
    </xf>
    <xf numFmtId="0" fontId="5" fillId="4" borderId="17" xfId="0" applyFont="1" applyFill="1" applyBorder="1" applyAlignment="1">
      <alignment vertical="center"/>
    </xf>
    <xf numFmtId="0" fontId="5" fillId="4" borderId="18" xfId="0" applyFont="1" applyFill="1" applyBorder="1" applyAlignment="1">
      <alignment vertical="center" wrapText="1"/>
    </xf>
    <xf numFmtId="0" fontId="3" fillId="2" borderId="0" xfId="0" applyFont="1" applyFill="1" applyAlignment="1">
      <alignment vertical="center"/>
    </xf>
    <xf numFmtId="6" fontId="3" fillId="2" borderId="0" xfId="0" applyNumberFormat="1" applyFont="1" applyFill="1"/>
    <xf numFmtId="42" fontId="3" fillId="2" borderId="0" xfId="0" applyNumberFormat="1" applyFont="1" applyFill="1"/>
    <xf numFmtId="0" fontId="4" fillId="2" borderId="0" xfId="0" applyFont="1" applyFill="1" applyAlignment="1">
      <alignment horizontal="center" vertical="center" wrapText="1"/>
    </xf>
    <xf numFmtId="0" fontId="4" fillId="2" borderId="0" xfId="0" applyFont="1" applyFill="1"/>
    <xf numFmtId="0" fontId="4" fillId="2" borderId="0" xfId="0" applyFont="1" applyFill="1" applyAlignment="1">
      <alignment horizontal="center" vertical="center"/>
    </xf>
    <xf numFmtId="10" fontId="3" fillId="2" borderId="0" xfId="0" applyNumberFormat="1" applyFont="1" applyFill="1"/>
    <xf numFmtId="9" fontId="3" fillId="2" borderId="0" xfId="0" applyNumberFormat="1" applyFont="1" applyFill="1"/>
    <xf numFmtId="3" fontId="3" fillId="2" borderId="0" xfId="0" applyNumberFormat="1" applyFont="1" applyFill="1"/>
    <xf numFmtId="3" fontId="4" fillId="2" borderId="0" xfId="0" applyNumberFormat="1" applyFont="1" applyFill="1"/>
    <xf numFmtId="10" fontId="3" fillId="2" borderId="0" xfId="3" applyNumberFormat="1" applyFont="1" applyFill="1"/>
    <xf numFmtId="10" fontId="4" fillId="2" borderId="0" xfId="0" applyNumberFormat="1" applyFont="1" applyFill="1"/>
    <xf numFmtId="44" fontId="3" fillId="2" borderId="0" xfId="0" applyNumberFormat="1" applyFont="1" applyFill="1"/>
    <xf numFmtId="44" fontId="4" fillId="2" borderId="0" xfId="0" applyNumberFormat="1" applyFont="1" applyFill="1"/>
    <xf numFmtId="165" fontId="3" fillId="2" borderId="1" xfId="0" applyNumberFormat="1" applyFont="1" applyFill="1" applyBorder="1" applyAlignment="1">
      <alignment wrapText="1"/>
    </xf>
    <xf numFmtId="10" fontId="4" fillId="3" borderId="20" xfId="0" applyNumberFormat="1" applyFont="1" applyFill="1" applyBorder="1" applyAlignment="1">
      <alignment horizontal="center" wrapText="1"/>
    </xf>
    <xf numFmtId="9" fontId="4" fillId="3" borderId="20" xfId="0" applyNumberFormat="1" applyFont="1" applyFill="1" applyBorder="1" applyAlignment="1">
      <alignment horizontal="center" wrapText="1"/>
    </xf>
    <xf numFmtId="9" fontId="3" fillId="2" borderId="1" xfId="3" applyFont="1" applyFill="1" applyBorder="1" applyAlignment="1">
      <alignment wrapText="1"/>
    </xf>
    <xf numFmtId="0" fontId="3" fillId="0" borderId="1" xfId="0" applyFont="1" applyBorder="1" applyAlignment="1">
      <alignment wrapText="1"/>
    </xf>
    <xf numFmtId="9" fontId="3" fillId="2" borderId="0" xfId="3" applyFont="1" applyFill="1"/>
    <xf numFmtId="166" fontId="3" fillId="2" borderId="0" xfId="3" applyNumberFormat="1" applyFont="1" applyFill="1"/>
    <xf numFmtId="166" fontId="3" fillId="2" borderId="0" xfId="0" applyNumberFormat="1" applyFont="1" applyFill="1"/>
    <xf numFmtId="10" fontId="3" fillId="2" borderId="1" xfId="3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right" wrapText="1"/>
    </xf>
    <xf numFmtId="0" fontId="1" fillId="0" borderId="0" xfId="5"/>
    <xf numFmtId="0" fontId="7" fillId="0" borderId="0" xfId="5" applyFont="1"/>
    <xf numFmtId="9" fontId="0" fillId="0" borderId="0" xfId="6" applyFont="1"/>
    <xf numFmtId="9" fontId="1" fillId="0" borderId="0" xfId="5" applyNumberFormat="1"/>
    <xf numFmtId="166" fontId="1" fillId="0" borderId="0" xfId="5" applyNumberFormat="1"/>
    <xf numFmtId="9" fontId="3" fillId="0" borderId="11" xfId="3" applyFont="1" applyFill="1" applyBorder="1" applyAlignment="1">
      <alignment wrapText="1"/>
    </xf>
    <xf numFmtId="164" fontId="3" fillId="2" borderId="5" xfId="4" applyFont="1" applyFill="1" applyBorder="1" applyAlignment="1">
      <alignment horizontal="left" wrapText="1"/>
    </xf>
    <xf numFmtId="164" fontId="3" fillId="0" borderId="0" xfId="4" applyFont="1" applyFill="1"/>
    <xf numFmtId="165" fontId="3" fillId="0" borderId="1" xfId="0" applyNumberFormat="1" applyFont="1" applyBorder="1" applyAlignment="1">
      <alignment wrapText="1"/>
    </xf>
    <xf numFmtId="165" fontId="3" fillId="0" borderId="1" xfId="0" applyNumberFormat="1" applyFont="1" applyBorder="1" applyAlignment="1">
      <alignment horizontal="right" wrapText="1"/>
    </xf>
    <xf numFmtId="164" fontId="3" fillId="2" borderId="0" xfId="0" applyNumberFormat="1" applyFont="1" applyFill="1" applyAlignment="1">
      <alignment wrapText="1"/>
    </xf>
    <xf numFmtId="164" fontId="3" fillId="2" borderId="12" xfId="0" applyNumberFormat="1" applyFont="1" applyFill="1" applyBorder="1" applyAlignment="1">
      <alignment wrapText="1"/>
    </xf>
    <xf numFmtId="0" fontId="8" fillId="2" borderId="1" xfId="2" applyFont="1" applyFill="1" applyBorder="1"/>
    <xf numFmtId="0" fontId="8" fillId="2" borderId="11" xfId="2" applyFont="1" applyFill="1" applyBorder="1"/>
    <xf numFmtId="164" fontId="3" fillId="2" borderId="1" xfId="4" applyFont="1" applyFill="1" applyBorder="1" applyAlignment="1">
      <alignment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164" fontId="3" fillId="2" borderId="22" xfId="4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wrapText="1"/>
    </xf>
    <xf numFmtId="0" fontId="8" fillId="2" borderId="1" xfId="2" applyFont="1" applyFill="1" applyBorder="1" applyAlignment="1">
      <alignment horizontal="left"/>
    </xf>
    <xf numFmtId="9" fontId="3" fillId="0" borderId="8" xfId="0" applyNumberFormat="1" applyFont="1" applyBorder="1" applyAlignment="1">
      <alignment wrapText="1"/>
    </xf>
    <xf numFmtId="0" fontId="4" fillId="3" borderId="19" xfId="0" applyFont="1" applyFill="1" applyBorder="1" applyAlignment="1">
      <alignment horizontal="left" wrapText="1"/>
    </xf>
    <xf numFmtId="0" fontId="4" fillId="3" borderId="20" xfId="0" applyFont="1" applyFill="1" applyBorder="1" applyAlignment="1">
      <alignment horizontal="left" wrapText="1"/>
    </xf>
    <xf numFmtId="0" fontId="4" fillId="3" borderId="21" xfId="0" applyFont="1" applyFill="1" applyBorder="1" applyAlignment="1">
      <alignment horizontal="left" wrapText="1"/>
    </xf>
    <xf numFmtId="164" fontId="3" fillId="2" borderId="1" xfId="4" applyFont="1" applyFill="1" applyBorder="1" applyAlignment="1">
      <alignment horizontal="left" vertical="center" wrapText="1"/>
    </xf>
    <xf numFmtId="164" fontId="3" fillId="2" borderId="11" xfId="4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164" fontId="3" fillId="2" borderId="8" xfId="4" applyFont="1" applyFill="1" applyBorder="1" applyAlignment="1">
      <alignment horizontal="left" vertical="center" wrapText="1"/>
    </xf>
    <xf numFmtId="164" fontId="3" fillId="2" borderId="22" xfId="4" applyFont="1" applyFill="1" applyBorder="1" applyAlignment="1">
      <alignment horizontal="left" vertical="center" wrapText="1"/>
    </xf>
    <xf numFmtId="164" fontId="3" fillId="2" borderId="23" xfId="4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164" fontId="3" fillId="2" borderId="5" xfId="4" applyFont="1" applyFill="1" applyBorder="1" applyAlignment="1">
      <alignment horizontal="left" vertical="center" wrapText="1"/>
    </xf>
    <xf numFmtId="164" fontId="3" fillId="2" borderId="17" xfId="4" applyNumberFormat="1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8" xfId="0" quotePrefix="1" applyFont="1" applyFill="1" applyBorder="1" applyAlignment="1">
      <alignment horizontal="left" vertical="center" wrapText="1"/>
    </xf>
    <xf numFmtId="0" fontId="3" fillId="2" borderId="22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left" vertical="center" wrapText="1"/>
    </xf>
    <xf numFmtId="0" fontId="3" fillId="2" borderId="25" xfId="0" applyFont="1" applyFill="1" applyBorder="1" applyAlignment="1">
      <alignment wrapText="1"/>
    </xf>
  </cellXfs>
  <cellStyles count="7">
    <cellStyle name="Comma" xfId="1" builtinId="3"/>
    <cellStyle name="Currency" xfId="4" builtinId="4"/>
    <cellStyle name="Hyperlink" xfId="2" builtinId="8"/>
    <cellStyle name="Normal" xfId="0" builtinId="0"/>
    <cellStyle name="Normal 2" xfId="5" xr:uid="{81A42D03-D880-6A45-AC43-D0180E056C84}"/>
    <cellStyle name="Per cent 2" xfId="6" xr:uid="{08D23205-57DA-DF48-8BCA-C35F8129F36F}"/>
    <cellStyle name="Percent" xfId="3" builtinId="5"/>
  </cellStyles>
  <dxfs count="0"/>
  <tableStyles count="0" defaultTableStyle="TableStyleMedium2" defaultPivotStyle="PivotStyleLight16"/>
  <colors>
    <mruColors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carnallfarrar.sharepoint.com/teams/52082f56-e482-411e-bb5b-af5d296e4095/Shared%20Documents/DMBC/5.%20Raw%20and%20supporting%20data/230308%20NWL%20Social%20Care%20Analysi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Logic and assumptions"/>
      <sheetName val="Model"/>
      <sheetName val="Raw Data &gt;&gt;&gt;"/>
      <sheetName val="EOC Additional activity"/>
      <sheetName val="NWL patients from WISC"/>
      <sheetName val="T&amp;O NWL patients from WSIC"/>
      <sheetName val="ASA - NAP7"/>
      <sheetName val="Lists"/>
    </sheetNames>
    <sheetDataSet>
      <sheetData sheetId="0" refreshError="1"/>
      <sheetData sheetId="1" refreshError="1"/>
      <sheetData sheetId="2" refreshError="1"/>
      <sheetData sheetId="3">
        <row r="5">
          <cell r="E5" t="str">
            <v>23/24 Commissioned Activity 109% @ 19/20 (Accounted for Mobilisation)</v>
          </cell>
          <cell r="F5" t="str">
            <v>24/25 Commissioned Activity 110% @ 19/20</v>
          </cell>
          <cell r="G5" t="str">
            <v>25/26 Commissioned Activity 111.6% @ GLA Housing Growth</v>
          </cell>
          <cell r="H5" t="str">
            <v>26/27 Commissioned Activity 113.4% @ GLA Housing Growth</v>
          </cell>
          <cell r="I5" t="str">
            <v>27/28 Commissioned Activity 115.1% @ GLA Housing Growth</v>
          </cell>
          <cell r="J5" t="str">
            <v>28/29 Commissioned Activity 116.8% @ GLA Housing Growth</v>
          </cell>
          <cell r="K5" t="str">
            <v>29/30 Commissioned Activity 118.4% @ GLA Housing Growth</v>
          </cell>
        </row>
        <row r="6">
          <cell r="D6" t="str">
            <v>LNWH - EL</v>
          </cell>
          <cell r="E6">
            <v>0</v>
          </cell>
          <cell r="F6">
            <v>14</v>
          </cell>
          <cell r="G6">
            <v>36</v>
          </cell>
          <cell r="H6">
            <v>59</v>
          </cell>
          <cell r="I6">
            <v>82</v>
          </cell>
          <cell r="J6">
            <v>105</v>
          </cell>
          <cell r="K6">
            <v>127</v>
          </cell>
        </row>
        <row r="7">
          <cell r="D7" t="str">
            <v>LNWH - DC</v>
          </cell>
          <cell r="E7">
            <v>0</v>
          </cell>
          <cell r="F7">
            <v>15</v>
          </cell>
          <cell r="G7">
            <v>38</v>
          </cell>
          <cell r="H7">
            <v>63</v>
          </cell>
          <cell r="I7">
            <v>87</v>
          </cell>
          <cell r="J7">
            <v>111</v>
          </cell>
          <cell r="K7">
            <v>135</v>
          </cell>
        </row>
        <row r="8">
          <cell r="D8" t="str">
            <v>C&amp;W - EL</v>
          </cell>
          <cell r="E8">
            <v>0</v>
          </cell>
          <cell r="F8">
            <v>8</v>
          </cell>
          <cell r="G8">
            <v>22</v>
          </cell>
          <cell r="H8">
            <v>36</v>
          </cell>
          <cell r="I8">
            <v>50</v>
          </cell>
          <cell r="J8">
            <v>64</v>
          </cell>
          <cell r="K8">
            <v>78</v>
          </cell>
        </row>
        <row r="9">
          <cell r="D9" t="str">
            <v>ICHT - EL</v>
          </cell>
          <cell r="E9">
            <v>0</v>
          </cell>
          <cell r="F9">
            <v>7</v>
          </cell>
          <cell r="G9">
            <v>20</v>
          </cell>
          <cell r="H9">
            <v>33</v>
          </cell>
          <cell r="I9">
            <v>45</v>
          </cell>
          <cell r="J9">
            <v>58</v>
          </cell>
          <cell r="K9">
            <v>70</v>
          </cell>
        </row>
        <row r="10">
          <cell r="D10" t="str">
            <v>Hillingdon - EL</v>
          </cell>
          <cell r="E10">
            <v>0</v>
          </cell>
          <cell r="F10">
            <v>6</v>
          </cell>
          <cell r="G10">
            <v>17</v>
          </cell>
          <cell r="H10">
            <v>29</v>
          </cell>
          <cell r="I10">
            <v>40</v>
          </cell>
          <cell r="J10">
            <v>51</v>
          </cell>
          <cell r="K10">
            <v>61</v>
          </cell>
        </row>
        <row r="11">
          <cell r="D11" t="str">
            <v>NWL PTL Support</v>
          </cell>
          <cell r="E11">
            <v>113</v>
          </cell>
          <cell r="F11">
            <v>305</v>
          </cell>
          <cell r="G11">
            <v>309</v>
          </cell>
          <cell r="H11">
            <v>314</v>
          </cell>
          <cell r="I11">
            <v>319</v>
          </cell>
          <cell r="J11">
            <v>323</v>
          </cell>
          <cell r="K11">
            <v>328</v>
          </cell>
        </row>
        <row r="12">
          <cell r="D12" t="str">
            <v>Cumulative Grand Total</v>
          </cell>
          <cell r="E12">
            <v>113</v>
          </cell>
          <cell r="F12">
            <v>355</v>
          </cell>
          <cell r="G12">
            <v>442</v>
          </cell>
          <cell r="H12">
            <v>534</v>
          </cell>
          <cell r="I12">
            <v>623</v>
          </cell>
          <cell r="J12">
            <v>712</v>
          </cell>
          <cell r="K12">
            <v>799</v>
          </cell>
        </row>
        <row r="13">
          <cell r="D13" t="str">
            <v>Incremental Grand Total</v>
          </cell>
          <cell r="E13">
            <v>113</v>
          </cell>
          <cell r="F13">
            <v>242</v>
          </cell>
          <cell r="G13">
            <v>87</v>
          </cell>
          <cell r="H13">
            <v>92</v>
          </cell>
          <cell r="I13">
            <v>89</v>
          </cell>
          <cell r="J13">
            <v>89</v>
          </cell>
          <cell r="K13">
            <v>87</v>
          </cell>
        </row>
      </sheetData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healthwatch.co.uk/sites/healthwatch.co.uk/files/20191016%20People%27s%20experiences%20of%20patient%20transport%20Formatted%20final.pdf" TargetMode="External"/><Relationship Id="rId7" Type="http://schemas.openxmlformats.org/officeDocument/2006/relationships/comments" Target="../comments1.xml"/><Relationship Id="rId2" Type="http://schemas.openxmlformats.org/officeDocument/2006/relationships/hyperlink" Target="https://www.nice.org.uk/glossary?letter=q" TargetMode="External"/><Relationship Id="rId1" Type="http://schemas.openxmlformats.org/officeDocument/2006/relationships/hyperlink" Target="https://www.nice.org.uk/glossary?letter=q" TargetMode="External"/><Relationship Id="rId6" Type="http://schemas.openxmlformats.org/officeDocument/2006/relationships/vmlDrawing" Target="../drawings/vmlDrawing1.v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ons.gov.uk/employmentandlabourmarket/peoplenotinwork/economicinactivity/timeseries/lf75/lms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2091DC-8E78-42DF-8345-1007414BEE6C}">
  <dimension ref="A1:K43"/>
  <sheetViews>
    <sheetView tabSelected="1" zoomScale="130" zoomScaleNormal="130" workbookViewId="0">
      <selection activeCell="C34" sqref="C34:C39"/>
    </sheetView>
  </sheetViews>
  <sheetFormatPr defaultColWidth="9.1796875" defaultRowHeight="12" x14ac:dyDescent="0.3"/>
  <cols>
    <col min="1" max="1" width="30.453125" style="4" customWidth="1"/>
    <col min="2" max="2" width="38.36328125" style="2" customWidth="1"/>
    <col min="3" max="3" width="49.453125" style="2" customWidth="1"/>
    <col min="4" max="4" width="61.6328125" style="4" customWidth="1"/>
    <col min="5" max="5" width="18.453125" style="2" customWidth="1"/>
    <col min="6" max="6" width="39.81640625" style="1" customWidth="1"/>
    <col min="7" max="9" width="15.6328125" style="2" customWidth="1"/>
    <col min="10" max="10" width="52.36328125" style="2" customWidth="1"/>
    <col min="11" max="16384" width="9.1796875" style="1"/>
  </cols>
  <sheetData>
    <row r="1" spans="1:11" x14ac:dyDescent="0.3">
      <c r="A1" s="3" t="s">
        <v>0</v>
      </c>
      <c r="B1" s="1"/>
    </row>
    <row r="2" spans="1:11" ht="3" customHeight="1" thickBot="1" x14ac:dyDescent="0.35"/>
    <row r="3" spans="1:11" s="38" customFormat="1" ht="36.5" thickBot="1" x14ac:dyDescent="0.4">
      <c r="A3" s="33" t="s">
        <v>1</v>
      </c>
      <c r="B3" s="34" t="s">
        <v>2</v>
      </c>
      <c r="C3" s="34" t="s">
        <v>3</v>
      </c>
      <c r="D3" s="35" t="s">
        <v>4</v>
      </c>
      <c r="E3" s="34" t="s">
        <v>5</v>
      </c>
      <c r="F3" s="36" t="s">
        <v>6</v>
      </c>
      <c r="G3" s="29" t="s">
        <v>7</v>
      </c>
      <c r="H3" s="29" t="s">
        <v>8</v>
      </c>
      <c r="I3" s="29" t="s">
        <v>9</v>
      </c>
      <c r="J3" s="37" t="s">
        <v>10</v>
      </c>
    </row>
    <row r="4" spans="1:11" ht="24.5" thickBot="1" x14ac:dyDescent="0.35">
      <c r="A4" s="30" t="s">
        <v>11</v>
      </c>
      <c r="B4" s="31"/>
      <c r="C4" s="31"/>
      <c r="D4" s="31"/>
      <c r="E4" s="31"/>
      <c r="F4" s="31"/>
      <c r="G4" s="53">
        <v>1.556</v>
      </c>
      <c r="H4" s="54">
        <v>1</v>
      </c>
      <c r="I4" s="54">
        <v>1</v>
      </c>
      <c r="J4" s="32"/>
    </row>
    <row r="5" spans="1:11" ht="12.5" thickBot="1" x14ac:dyDescent="0.35">
      <c r="A5" s="30" t="s">
        <v>12</v>
      </c>
      <c r="B5" s="31"/>
      <c r="C5" s="31"/>
      <c r="D5" s="31"/>
      <c r="E5" s="31"/>
      <c r="F5" s="31"/>
      <c r="G5" s="53">
        <v>0.39319999999999999</v>
      </c>
      <c r="H5" s="54">
        <v>1</v>
      </c>
      <c r="I5" s="53">
        <v>1.016</v>
      </c>
      <c r="J5" s="32"/>
    </row>
    <row r="6" spans="1:11" ht="12.5" thickBot="1" x14ac:dyDescent="0.35">
      <c r="A6" s="83" t="s">
        <v>13</v>
      </c>
      <c r="B6" s="84"/>
      <c r="C6" s="84"/>
      <c r="D6" s="84"/>
      <c r="E6" s="84"/>
      <c r="F6" s="84"/>
      <c r="G6" s="84"/>
      <c r="H6" s="84"/>
      <c r="I6" s="84"/>
      <c r="J6" s="85"/>
    </row>
    <row r="7" spans="1:11" x14ac:dyDescent="0.3">
      <c r="A7" s="90" t="s">
        <v>14</v>
      </c>
      <c r="B7" s="88" t="s">
        <v>15</v>
      </c>
      <c r="C7" s="88" t="s">
        <v>16</v>
      </c>
      <c r="D7" s="20" t="s">
        <v>17</v>
      </c>
      <c r="E7" s="21">
        <v>0.5</v>
      </c>
      <c r="F7" s="8" t="s">
        <v>18</v>
      </c>
      <c r="G7" s="87">
        <f>($E$7*$E$8*$E$10*$E$9)*G5</f>
        <v>419529.24725159997</v>
      </c>
      <c r="H7" s="87">
        <f>($E$7*$E$8*$E$10*$E$9)*H5</f>
        <v>1066961.463</v>
      </c>
      <c r="I7" s="87">
        <f>($E$7*$E$8*$E$10*$E$9)*I5</f>
        <v>1084032.846408</v>
      </c>
      <c r="J7" s="22" t="s">
        <v>19</v>
      </c>
    </row>
    <row r="8" spans="1:11" x14ac:dyDescent="0.3">
      <c r="A8" s="91"/>
      <c r="B8" s="89"/>
      <c r="C8" s="89"/>
      <c r="D8" s="6" t="s">
        <v>20</v>
      </c>
      <c r="E8" s="70">
        <v>4226</v>
      </c>
      <c r="F8" s="8" t="s">
        <v>18</v>
      </c>
      <c r="G8" s="86"/>
      <c r="H8" s="86"/>
      <c r="I8" s="86"/>
      <c r="J8" s="12" t="s">
        <v>21</v>
      </c>
    </row>
    <row r="9" spans="1:11" x14ac:dyDescent="0.3">
      <c r="A9" s="91"/>
      <c r="B9" s="89"/>
      <c r="C9" s="89"/>
      <c r="D9" s="6" t="s">
        <v>22</v>
      </c>
      <c r="E9" s="55">
        <v>2.5499999999999998E-2</v>
      </c>
      <c r="F9" s="8" t="s">
        <v>18</v>
      </c>
      <c r="G9" s="86"/>
      <c r="H9" s="86"/>
      <c r="I9" s="86"/>
      <c r="J9" s="12"/>
    </row>
    <row r="10" spans="1:11" x14ac:dyDescent="0.3">
      <c r="A10" s="91"/>
      <c r="B10" s="89"/>
      <c r="C10" s="89"/>
      <c r="D10" s="6" t="s">
        <v>23</v>
      </c>
      <c r="E10" s="9">
        <v>19802</v>
      </c>
      <c r="F10" s="74" t="s">
        <v>24</v>
      </c>
      <c r="G10" s="86"/>
      <c r="H10" s="86"/>
      <c r="I10" s="86"/>
      <c r="J10" s="12"/>
    </row>
    <row r="11" spans="1:11" x14ac:dyDescent="0.3">
      <c r="A11" s="91" t="s">
        <v>25</v>
      </c>
      <c r="B11" s="88" t="s">
        <v>26</v>
      </c>
      <c r="C11" s="89" t="s">
        <v>27</v>
      </c>
      <c r="D11" s="6" t="s">
        <v>28</v>
      </c>
      <c r="E11" s="10">
        <f>3/52</f>
        <v>5.7692307692307696E-2</v>
      </c>
      <c r="F11" s="8" t="s">
        <v>18</v>
      </c>
      <c r="G11" s="86">
        <f>($E$11*$E$12*$E$13)*G5</f>
        <v>2603118.3685384616</v>
      </c>
      <c r="H11" s="86">
        <f>($E$11*$E$12*$E$13)*H5*H4</f>
        <v>6620341.730769231</v>
      </c>
      <c r="I11" s="86">
        <f>($E$11*$E$12*$E$13)*I5*I4</f>
        <v>6726267.1984615391</v>
      </c>
      <c r="J11" s="12" t="s">
        <v>21</v>
      </c>
    </row>
    <row r="12" spans="1:11" x14ac:dyDescent="0.3">
      <c r="A12" s="91"/>
      <c r="B12" s="89"/>
      <c r="C12" s="89"/>
      <c r="D12" s="6" t="s">
        <v>29</v>
      </c>
      <c r="E12" s="70">
        <v>5795</v>
      </c>
      <c r="F12" s="8" t="s">
        <v>18</v>
      </c>
      <c r="G12" s="86"/>
      <c r="H12" s="86"/>
      <c r="I12" s="86"/>
      <c r="J12" s="12"/>
    </row>
    <row r="13" spans="1:11" x14ac:dyDescent="0.3">
      <c r="A13" s="91"/>
      <c r="B13" s="89"/>
      <c r="C13" s="89"/>
      <c r="D13" s="6" t="s">
        <v>23</v>
      </c>
      <c r="E13" s="9">
        <v>19802</v>
      </c>
      <c r="F13" s="74" t="s">
        <v>24</v>
      </c>
      <c r="G13" s="86"/>
      <c r="H13" s="86"/>
      <c r="I13" s="86"/>
      <c r="J13" s="12"/>
    </row>
    <row r="14" spans="1:11" x14ac:dyDescent="0.3">
      <c r="A14" s="100" t="s">
        <v>30</v>
      </c>
      <c r="B14" s="89" t="s">
        <v>115</v>
      </c>
      <c r="C14" s="89" t="s">
        <v>108</v>
      </c>
      <c r="D14" s="6" t="s">
        <v>31</v>
      </c>
      <c r="E14" s="10">
        <f>3/52</f>
        <v>5.7692307692307696E-2</v>
      </c>
      <c r="F14" s="8" t="s">
        <v>18</v>
      </c>
      <c r="G14" s="93">
        <f>($E$14*$E$15*$E$16*$E$17*$E$18*$E$19*$E$20)*G5</f>
        <v>2562.1524153713945</v>
      </c>
      <c r="H14" s="93">
        <f>($E$14*$E$15*$E$16*$E$17*$E$18*$E$19*$E$20)*H5</f>
        <v>6516.1556850747565</v>
      </c>
      <c r="I14" s="93">
        <f>($E$14*$E$15*$E$16*$E$17*$E$18*$E$19*$E$20)*I5</f>
        <v>6620.4141760359526</v>
      </c>
      <c r="J14" s="12"/>
    </row>
    <row r="15" spans="1:11" x14ac:dyDescent="0.3">
      <c r="A15" s="104"/>
      <c r="B15" s="89"/>
      <c r="C15" s="89"/>
      <c r="D15" s="6" t="s">
        <v>29</v>
      </c>
      <c r="E15" s="70">
        <f>E12</f>
        <v>5795</v>
      </c>
      <c r="F15" s="8" t="s">
        <v>18</v>
      </c>
      <c r="G15" s="94"/>
      <c r="H15" s="94"/>
      <c r="I15" s="94"/>
      <c r="J15" s="12"/>
    </row>
    <row r="16" spans="1:11" ht="24" x14ac:dyDescent="0.3">
      <c r="A16" s="104"/>
      <c r="B16" s="89"/>
      <c r="C16" s="89"/>
      <c r="D16" s="6" t="s">
        <v>32</v>
      </c>
      <c r="E16" s="11">
        <f>'ONS Salary and Employment'!D20</f>
        <v>0.5755739031500573</v>
      </c>
      <c r="F16" s="7" t="s">
        <v>33</v>
      </c>
      <c r="G16" s="94"/>
      <c r="H16" s="94"/>
      <c r="I16" s="94"/>
      <c r="J16" s="12"/>
      <c r="K16" s="92"/>
    </row>
    <row r="17" spans="1:11" x14ac:dyDescent="0.3">
      <c r="A17" s="104"/>
      <c r="B17" s="89"/>
      <c r="C17" s="89"/>
      <c r="D17" s="6" t="s">
        <v>34</v>
      </c>
      <c r="E17" s="76">
        <f>'ONS Salary and Employment'!G9</f>
        <v>26113.384095879384</v>
      </c>
      <c r="F17" s="8" t="s">
        <v>35</v>
      </c>
      <c r="G17" s="94"/>
      <c r="H17" s="94"/>
      <c r="I17" s="94"/>
      <c r="J17" s="12"/>
      <c r="K17" s="92"/>
    </row>
    <row r="18" spans="1:11" x14ac:dyDescent="0.3">
      <c r="A18" s="104"/>
      <c r="B18" s="89"/>
      <c r="C18" s="89"/>
      <c r="D18" s="6" t="s">
        <v>36</v>
      </c>
      <c r="E18" s="11">
        <v>1.4E-2</v>
      </c>
      <c r="F18" s="8" t="s">
        <v>37</v>
      </c>
      <c r="G18" s="94"/>
      <c r="H18" s="94"/>
      <c r="I18" s="94"/>
      <c r="J18" s="12"/>
      <c r="K18" s="92"/>
    </row>
    <row r="19" spans="1:11" x14ac:dyDescent="0.3">
      <c r="A19" s="104"/>
      <c r="B19" s="96"/>
      <c r="C19" s="96"/>
      <c r="D19" s="16" t="s">
        <v>38</v>
      </c>
      <c r="E19" s="17">
        <v>0.13400000000000001</v>
      </c>
      <c r="F19" s="18" t="s">
        <v>39</v>
      </c>
      <c r="G19" s="94"/>
      <c r="H19" s="94"/>
      <c r="I19" s="94"/>
      <c r="J19" s="12"/>
      <c r="K19" s="92"/>
    </row>
    <row r="20" spans="1:11" ht="12.5" thickBot="1" x14ac:dyDescent="0.35">
      <c r="A20" s="104"/>
      <c r="B20" s="96"/>
      <c r="C20" s="96"/>
      <c r="D20" s="16" t="s">
        <v>107</v>
      </c>
      <c r="E20" s="17">
        <f>'ASA - NAP7'!D40</f>
        <v>0.69123069496203948</v>
      </c>
      <c r="F20" s="18" t="s">
        <v>106</v>
      </c>
      <c r="G20" s="95"/>
      <c r="H20" s="95"/>
      <c r="I20" s="95"/>
      <c r="J20" s="12"/>
      <c r="K20" s="92"/>
    </row>
    <row r="21" spans="1:11" ht="13" customHeight="1" x14ac:dyDescent="0.3">
      <c r="A21" s="104"/>
      <c r="B21" s="89" t="s">
        <v>116</v>
      </c>
      <c r="C21" s="102" t="s">
        <v>117</v>
      </c>
      <c r="D21" s="6" t="s">
        <v>31</v>
      </c>
      <c r="E21" s="61">
        <f>3/52</f>
        <v>5.7692307692307696E-2</v>
      </c>
      <c r="F21" s="6" t="s">
        <v>18</v>
      </c>
      <c r="G21" s="99">
        <f>$E$21*$E$22*$E$23*$E$24*$E$25*($E$26+$E$27)*G5*$E$28</f>
        <v>66509.68924532723</v>
      </c>
      <c r="H21" s="99">
        <f t="shared" ref="H21:I21" si="0">$E$21*$E$22*$E$23*$E$24*$E$25*($E$26+$E$27)*H5*$E$28</f>
        <v>169149.76918954024</v>
      </c>
      <c r="I21" s="99">
        <f t="shared" si="0"/>
        <v>171856.16549657288</v>
      </c>
      <c r="J21" s="12"/>
      <c r="K21" s="92"/>
    </row>
    <row r="22" spans="1:11" ht="16" customHeight="1" x14ac:dyDescent="0.3">
      <c r="A22" s="104"/>
      <c r="B22" s="89"/>
      <c r="C22" s="103"/>
      <c r="D22" s="6" t="s">
        <v>29</v>
      </c>
      <c r="E22" s="71">
        <f>E12</f>
        <v>5795</v>
      </c>
      <c r="F22" s="6" t="s">
        <v>18</v>
      </c>
      <c r="G22" s="94"/>
      <c r="H22" s="94"/>
      <c r="I22" s="94"/>
      <c r="J22" s="12"/>
      <c r="K22" s="92"/>
    </row>
    <row r="23" spans="1:11" ht="16" customHeight="1" x14ac:dyDescent="0.3">
      <c r="A23" s="104"/>
      <c r="B23" s="89"/>
      <c r="C23" s="103"/>
      <c r="D23" s="6" t="s">
        <v>113</v>
      </c>
      <c r="E23" s="60">
        <f>'ONS Salary and Employment'!D34</f>
        <v>0.21066885145143707</v>
      </c>
      <c r="F23" s="6"/>
      <c r="G23" s="94"/>
      <c r="H23" s="94"/>
      <c r="I23" s="94"/>
      <c r="J23" s="12"/>
      <c r="K23" s="92"/>
    </row>
    <row r="24" spans="1:11" ht="16" customHeight="1" x14ac:dyDescent="0.3">
      <c r="A24" s="104"/>
      <c r="B24" s="89"/>
      <c r="C24" s="103"/>
      <c r="D24" s="6" t="s">
        <v>70</v>
      </c>
      <c r="E24" s="60">
        <v>0.28399999999999997</v>
      </c>
      <c r="F24" s="81" t="s">
        <v>114</v>
      </c>
      <c r="G24" s="94"/>
      <c r="H24" s="94"/>
      <c r="I24" s="94"/>
      <c r="J24" s="12"/>
      <c r="K24" s="92"/>
    </row>
    <row r="25" spans="1:11" ht="16" customHeight="1" x14ac:dyDescent="0.3">
      <c r="A25" s="104"/>
      <c r="B25" s="89"/>
      <c r="C25" s="103"/>
      <c r="D25" s="6" t="s">
        <v>110</v>
      </c>
      <c r="E25" s="60">
        <v>0.40600000000000003</v>
      </c>
      <c r="F25" s="81" t="s">
        <v>109</v>
      </c>
      <c r="G25" s="94"/>
      <c r="H25" s="94"/>
      <c r="I25" s="94"/>
      <c r="J25" s="12"/>
      <c r="K25" s="92"/>
    </row>
    <row r="26" spans="1:11" ht="16" customHeight="1" x14ac:dyDescent="0.3">
      <c r="A26" s="104"/>
      <c r="B26" s="89"/>
      <c r="C26" s="103"/>
      <c r="D26" s="6" t="s">
        <v>71</v>
      </c>
      <c r="E26" s="76">
        <f>334.91*12</f>
        <v>4018.92</v>
      </c>
      <c r="F26" s="8" t="s">
        <v>72</v>
      </c>
      <c r="G26" s="94"/>
      <c r="H26" s="94"/>
      <c r="I26" s="94"/>
      <c r="J26" s="12"/>
      <c r="K26" s="92"/>
    </row>
    <row r="27" spans="1:11" x14ac:dyDescent="0.3">
      <c r="A27" s="104"/>
      <c r="B27" s="89"/>
      <c r="C27" s="103"/>
      <c r="D27" s="6" t="s">
        <v>34</v>
      </c>
      <c r="E27" s="76">
        <f>E17</f>
        <v>26113.384095879384</v>
      </c>
      <c r="F27" s="8" t="s">
        <v>35</v>
      </c>
      <c r="G27" s="94"/>
      <c r="H27" s="94"/>
      <c r="I27" s="94"/>
      <c r="J27" s="12"/>
      <c r="K27" s="92"/>
    </row>
    <row r="28" spans="1:11" ht="12.5" thickBot="1" x14ac:dyDescent="0.35">
      <c r="A28" s="78"/>
      <c r="B28" s="77"/>
      <c r="C28" s="77"/>
      <c r="D28" s="16" t="s">
        <v>107</v>
      </c>
      <c r="E28" s="17">
        <f>'ASA - NAP7'!D40</f>
        <v>0.69123069496203948</v>
      </c>
      <c r="F28" s="18" t="s">
        <v>106</v>
      </c>
      <c r="G28" s="79"/>
      <c r="H28" s="79"/>
      <c r="I28" s="79"/>
      <c r="J28" s="105"/>
      <c r="K28" s="92"/>
    </row>
    <row r="29" spans="1:11" ht="12.5" thickBot="1" x14ac:dyDescent="0.35">
      <c r="A29" s="23" t="s">
        <v>40</v>
      </c>
      <c r="B29" s="24"/>
      <c r="C29" s="25"/>
      <c r="D29" s="26"/>
      <c r="E29" s="25"/>
      <c r="F29" s="27"/>
      <c r="G29" s="25"/>
      <c r="H29" s="25"/>
      <c r="I29" s="25"/>
      <c r="J29" s="28"/>
      <c r="K29" s="92"/>
    </row>
    <row r="30" spans="1:11" x14ac:dyDescent="0.3">
      <c r="A30" s="90" t="s">
        <v>41</v>
      </c>
      <c r="B30" s="88" t="s">
        <v>42</v>
      </c>
      <c r="C30" s="88" t="s">
        <v>118</v>
      </c>
      <c r="D30" s="20" t="s">
        <v>104</v>
      </c>
      <c r="E30" s="69">
        <v>3.69</v>
      </c>
      <c r="F30" s="8" t="s">
        <v>102</v>
      </c>
      <c r="G30" s="87">
        <f>($E$30*($E$31+$E$32))*G5</f>
        <v>16816.023719999997</v>
      </c>
      <c r="H30" s="87">
        <f>($E$30*($E$31+$E$32))*H5</f>
        <v>42767.1</v>
      </c>
      <c r="I30" s="87">
        <f>($E$30*($E$31+$E$32))*I5</f>
        <v>43451.373599999999</v>
      </c>
      <c r="J30" s="73"/>
      <c r="K30" s="92"/>
    </row>
    <row r="31" spans="1:11" x14ac:dyDescent="0.3">
      <c r="A31" s="91"/>
      <c r="B31" s="89"/>
      <c r="C31" s="89"/>
      <c r="D31" s="6" t="s">
        <v>29</v>
      </c>
      <c r="E31" s="70">
        <f>E15</f>
        <v>5795</v>
      </c>
      <c r="F31" s="8" t="s">
        <v>18</v>
      </c>
      <c r="G31" s="86"/>
      <c r="H31" s="86"/>
      <c r="I31" s="86"/>
      <c r="J31" s="12"/>
      <c r="K31" s="5"/>
    </row>
    <row r="32" spans="1:11" ht="12.5" thickBot="1" x14ac:dyDescent="0.35">
      <c r="A32" s="91"/>
      <c r="B32" s="89"/>
      <c r="C32" s="89"/>
      <c r="D32" s="6" t="s">
        <v>43</v>
      </c>
      <c r="E32" s="70">
        <f>E31</f>
        <v>5795</v>
      </c>
      <c r="F32" s="8" t="s">
        <v>18</v>
      </c>
      <c r="G32" s="86"/>
      <c r="H32" s="86"/>
      <c r="I32" s="86"/>
      <c r="J32" s="12"/>
      <c r="K32" s="5"/>
    </row>
    <row r="33" spans="1:10" ht="12.5" thickBot="1" x14ac:dyDescent="0.35">
      <c r="A33" s="23" t="s">
        <v>44</v>
      </c>
      <c r="B33" s="24"/>
      <c r="C33" s="25"/>
      <c r="D33" s="26"/>
      <c r="E33" s="25"/>
      <c r="F33" s="27"/>
      <c r="G33" s="25"/>
      <c r="H33" s="25"/>
      <c r="I33" s="25"/>
      <c r="J33" s="28"/>
    </row>
    <row r="34" spans="1:10" x14ac:dyDescent="0.3">
      <c r="A34" s="90" t="s">
        <v>45</v>
      </c>
      <c r="B34" s="88" t="s">
        <v>46</v>
      </c>
      <c r="C34" s="88" t="s">
        <v>47</v>
      </c>
      <c r="D34" s="20" t="s">
        <v>103</v>
      </c>
      <c r="E34" s="67">
        <v>0.77</v>
      </c>
      <c r="F34" s="75" t="s">
        <v>65</v>
      </c>
      <c r="G34" s="87">
        <f>($E$34*$E$35*$E$36*$E$37*$E$38*$E$39)*G5</f>
        <v>83.169599019682593</v>
      </c>
      <c r="H34" s="87">
        <f t="shared" ref="H34:I34" si="1">($E$34*$E$35*$E$36*$E$37*$E$38*$E$39)*H5</f>
        <v>211.51983473978279</v>
      </c>
      <c r="I34" s="87">
        <f t="shared" si="1"/>
        <v>214.90415209561931</v>
      </c>
      <c r="J34" s="22"/>
    </row>
    <row r="35" spans="1:10" x14ac:dyDescent="0.3">
      <c r="A35" s="90"/>
      <c r="B35" s="88"/>
      <c r="C35" s="88"/>
      <c r="D35" s="20" t="s">
        <v>48</v>
      </c>
      <c r="E35" s="52">
        <v>2442</v>
      </c>
      <c r="F35" s="8" t="s">
        <v>18</v>
      </c>
      <c r="G35" s="87"/>
      <c r="H35" s="87"/>
      <c r="I35" s="87"/>
      <c r="J35" s="22"/>
    </row>
    <row r="36" spans="1:10" x14ac:dyDescent="0.3">
      <c r="A36" s="91"/>
      <c r="B36" s="89"/>
      <c r="C36" s="89"/>
      <c r="D36" s="6" t="s">
        <v>49</v>
      </c>
      <c r="E36" s="80">
        <v>3.53</v>
      </c>
      <c r="F36" s="8" t="s">
        <v>105</v>
      </c>
      <c r="G36" s="86"/>
      <c r="H36" s="86"/>
      <c r="I36" s="86"/>
      <c r="J36" s="12"/>
    </row>
    <row r="37" spans="1:10" x14ac:dyDescent="0.3">
      <c r="A37" s="91"/>
      <c r="B37" s="89"/>
      <c r="C37" s="89"/>
      <c r="D37" s="6" t="s">
        <v>100</v>
      </c>
      <c r="E37" s="56">
        <v>0.40400000000000003</v>
      </c>
      <c r="F37" s="8" t="s">
        <v>67</v>
      </c>
      <c r="G37" s="86"/>
      <c r="H37" s="86"/>
      <c r="I37" s="86"/>
      <c r="J37" s="12"/>
    </row>
    <row r="38" spans="1:10" x14ac:dyDescent="0.3">
      <c r="A38" s="100"/>
      <c r="B38" s="96"/>
      <c r="C38" s="96"/>
      <c r="D38" s="16" t="s">
        <v>111</v>
      </c>
      <c r="E38" s="82">
        <v>0.95</v>
      </c>
      <c r="F38" s="18" t="s">
        <v>112</v>
      </c>
      <c r="G38" s="93"/>
      <c r="H38" s="93"/>
      <c r="I38" s="93"/>
      <c r="J38" s="19"/>
    </row>
    <row r="39" spans="1:10" ht="12.5" thickBot="1" x14ac:dyDescent="0.35">
      <c r="A39" s="101"/>
      <c r="B39" s="97"/>
      <c r="C39" s="97"/>
      <c r="D39" s="13" t="s">
        <v>101</v>
      </c>
      <c r="E39" s="68">
        <f>83.03/1000</f>
        <v>8.3030000000000007E-2</v>
      </c>
      <c r="F39" s="14" t="s">
        <v>66</v>
      </c>
      <c r="G39" s="98"/>
      <c r="H39" s="98"/>
      <c r="I39" s="98"/>
      <c r="J39" s="15"/>
    </row>
    <row r="40" spans="1:10" x14ac:dyDescent="0.3">
      <c r="F40" s="42" t="s">
        <v>91</v>
      </c>
      <c r="G40" s="72">
        <f>SUM(G7,G11,G14,G21,G30)-G34</f>
        <v>3108452.311571741</v>
      </c>
      <c r="H40" s="72">
        <f>SUM(H7,H11,H14,H21,H30)-H34</f>
        <v>7905524.6988091059</v>
      </c>
      <c r="I40" s="72">
        <f>SUM(I7,I11,I14,I21,I30)-I34</f>
        <v>8032013.0939900521</v>
      </c>
    </row>
    <row r="43" spans="1:10" x14ac:dyDescent="0.3">
      <c r="G43" s="72"/>
    </row>
  </sheetData>
  <mergeCells count="37">
    <mergeCell ref="C11:C13"/>
    <mergeCell ref="C14:C20"/>
    <mergeCell ref="B7:B10"/>
    <mergeCell ref="A7:A10"/>
    <mergeCell ref="B34:B39"/>
    <mergeCell ref="A34:A39"/>
    <mergeCell ref="B14:B20"/>
    <mergeCell ref="B21:B27"/>
    <mergeCell ref="C21:C27"/>
    <mergeCell ref="A14:A27"/>
    <mergeCell ref="K16:K30"/>
    <mergeCell ref="G14:G20"/>
    <mergeCell ref="H14:H20"/>
    <mergeCell ref="I14:I20"/>
    <mergeCell ref="C34:C39"/>
    <mergeCell ref="G34:G39"/>
    <mergeCell ref="H34:H39"/>
    <mergeCell ref="I34:I39"/>
    <mergeCell ref="G21:G27"/>
    <mergeCell ref="H21:H27"/>
    <mergeCell ref="I21:I27"/>
    <mergeCell ref="A6:J6"/>
    <mergeCell ref="G11:G13"/>
    <mergeCell ref="H11:H13"/>
    <mergeCell ref="I11:I13"/>
    <mergeCell ref="G30:G32"/>
    <mergeCell ref="H30:H32"/>
    <mergeCell ref="I30:I32"/>
    <mergeCell ref="C30:C32"/>
    <mergeCell ref="A30:A32"/>
    <mergeCell ref="B11:B13"/>
    <mergeCell ref="B30:B32"/>
    <mergeCell ref="G7:G10"/>
    <mergeCell ref="H7:H10"/>
    <mergeCell ref="I7:I10"/>
    <mergeCell ref="A11:A13"/>
    <mergeCell ref="C7:C10"/>
  </mergeCells>
  <hyperlinks>
    <hyperlink ref="F10" r:id="rId1" xr:uid="{3EC6378B-2F75-45E0-9E49-6B8434C24EE7}"/>
    <hyperlink ref="F13" r:id="rId2" xr:uid="{50F792B1-D549-4A03-ABBD-5277331FF132}"/>
    <hyperlink ref="F34" r:id="rId3" xr:uid="{D01A4F7A-67D8-F447-8020-2B096E0FF16D}"/>
    <hyperlink ref="F24" r:id="rId4" display="https://www.ons.gov.uk/employmentandlabourmarket/peoplenotinwork/economicinactivity/timeseries/lf75/lms" xr:uid="{24092E4C-8003-B144-AE64-EDC611B67712}"/>
  </hyperlinks>
  <pageMargins left="0.7" right="0.7" top="0.75" bottom="0.75" header="0.3" footer="0.3"/>
  <pageSetup paperSize="9" orientation="portrait" verticalDpi="0" r:id="rId5"/>
  <legacy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EA47B6-764D-480A-B860-39D5CA148D1D}">
  <dimension ref="A1:G44"/>
  <sheetViews>
    <sheetView workbookViewId="0">
      <selection activeCell="F58" sqref="F58"/>
    </sheetView>
  </sheetViews>
  <sheetFormatPr defaultColWidth="9.1796875" defaultRowHeight="12" x14ac:dyDescent="0.3"/>
  <cols>
    <col min="1" max="1" width="27.81640625" style="1" customWidth="1"/>
    <col min="2" max="2" width="23" style="1" customWidth="1"/>
    <col min="3" max="6" width="13.453125" style="1" customWidth="1"/>
    <col min="7" max="7" width="23.36328125" style="1" customWidth="1"/>
    <col min="8" max="16384" width="9.1796875" style="1"/>
  </cols>
  <sheetData>
    <row r="1" spans="1:7" s="41" customFormat="1" ht="24" x14ac:dyDescent="0.35">
      <c r="B1" s="41" t="s">
        <v>50</v>
      </c>
      <c r="C1" s="41" t="s">
        <v>51</v>
      </c>
      <c r="D1" s="41" t="s">
        <v>52</v>
      </c>
      <c r="E1" s="41" t="s">
        <v>53</v>
      </c>
      <c r="F1" s="41" t="s">
        <v>54</v>
      </c>
      <c r="G1" s="41" t="s">
        <v>55</v>
      </c>
    </row>
    <row r="2" spans="1:7" x14ac:dyDescent="0.3">
      <c r="A2" s="1" t="s">
        <v>56</v>
      </c>
      <c r="B2" s="39">
        <v>482</v>
      </c>
      <c r="C2" s="40">
        <f>B2*52</f>
        <v>25064</v>
      </c>
      <c r="D2" s="46">
        <v>339800</v>
      </c>
      <c r="E2" s="44">
        <v>0.69299999999999995</v>
      </c>
      <c r="F2" s="46">
        <f>D2*E2</f>
        <v>235481.4</v>
      </c>
      <c r="G2" s="50">
        <f>(F2/$F$9)*C2</f>
        <v>4576.8007120511938</v>
      </c>
    </row>
    <row r="3" spans="1:7" x14ac:dyDescent="0.3">
      <c r="A3" s="1" t="s">
        <v>57</v>
      </c>
      <c r="B3" s="39">
        <v>371</v>
      </c>
      <c r="C3" s="40">
        <f t="shared" ref="C3:C8" si="0">B3*52</f>
        <v>19292</v>
      </c>
      <c r="D3" s="46">
        <v>261300</v>
      </c>
      <c r="E3" s="44">
        <v>0.64900000000000002</v>
      </c>
      <c r="F3" s="46">
        <f t="shared" ref="F3:F8" si="1">D3*E3</f>
        <v>169583.7</v>
      </c>
      <c r="G3" s="50">
        <f t="shared" ref="G3:G8" si="2">(F3/$F$9)*C3</f>
        <v>2536.9760718726288</v>
      </c>
    </row>
    <row r="4" spans="1:7" x14ac:dyDescent="0.3">
      <c r="A4" s="1" t="s">
        <v>58</v>
      </c>
      <c r="B4" s="39">
        <v>479</v>
      </c>
      <c r="C4" s="40">
        <f t="shared" si="0"/>
        <v>24908</v>
      </c>
      <c r="D4" s="46">
        <v>367100</v>
      </c>
      <c r="E4" s="44">
        <v>0.68300000000000005</v>
      </c>
      <c r="F4" s="46">
        <f t="shared" si="1"/>
        <v>250729.30000000002</v>
      </c>
      <c r="G4" s="50">
        <f t="shared" si="2"/>
        <v>4842.8270166292623</v>
      </c>
    </row>
    <row r="5" spans="1:7" x14ac:dyDescent="0.3">
      <c r="A5" s="1" t="s">
        <v>59</v>
      </c>
      <c r="B5" s="39">
        <v>580</v>
      </c>
      <c r="C5" s="40">
        <f t="shared" si="0"/>
        <v>30160</v>
      </c>
      <c r="D5" s="46">
        <v>288200</v>
      </c>
      <c r="E5" s="44">
        <v>0.67600000000000005</v>
      </c>
      <c r="F5" s="46">
        <f t="shared" si="1"/>
        <v>194823.2</v>
      </c>
      <c r="G5" s="50">
        <f t="shared" si="2"/>
        <v>4556.4543225331981</v>
      </c>
    </row>
    <row r="6" spans="1:7" x14ac:dyDescent="0.3">
      <c r="A6" s="1" t="s">
        <v>60</v>
      </c>
      <c r="B6" s="39">
        <v>546</v>
      </c>
      <c r="C6" s="40">
        <f t="shared" si="0"/>
        <v>28392</v>
      </c>
      <c r="D6" s="46">
        <v>305900</v>
      </c>
      <c r="E6" s="44">
        <v>0.65600000000000003</v>
      </c>
      <c r="F6" s="46">
        <f t="shared" si="1"/>
        <v>200670.4</v>
      </c>
      <c r="G6" s="50">
        <f t="shared" si="2"/>
        <v>4418.08751225796</v>
      </c>
    </row>
    <row r="7" spans="1:7" x14ac:dyDescent="0.3">
      <c r="A7" s="1" t="s">
        <v>61</v>
      </c>
      <c r="B7" s="39">
        <v>560</v>
      </c>
      <c r="C7" s="40">
        <f t="shared" si="0"/>
        <v>29120</v>
      </c>
      <c r="D7" s="46">
        <v>183200</v>
      </c>
      <c r="E7" s="44">
        <v>0.74099999999999999</v>
      </c>
      <c r="F7" s="46">
        <f t="shared" si="1"/>
        <v>135751.20000000001</v>
      </c>
      <c r="G7" s="50">
        <f t="shared" si="2"/>
        <v>3065.4205129740126</v>
      </c>
    </row>
    <row r="8" spans="1:7" x14ac:dyDescent="0.3">
      <c r="A8" s="1" t="s">
        <v>62</v>
      </c>
      <c r="B8" s="39">
        <v>512</v>
      </c>
      <c r="C8" s="40">
        <f t="shared" si="0"/>
        <v>26624</v>
      </c>
      <c r="D8" s="46">
        <v>143400</v>
      </c>
      <c r="E8" s="44">
        <v>0.71499999999999997</v>
      </c>
      <c r="F8" s="46">
        <f t="shared" si="1"/>
        <v>102531</v>
      </c>
      <c r="G8" s="50">
        <f t="shared" si="2"/>
        <v>2116.8179475611332</v>
      </c>
    </row>
    <row r="9" spans="1:7" x14ac:dyDescent="0.3">
      <c r="D9" s="42">
        <f>SUM(D2:D8)</f>
        <v>1888900</v>
      </c>
      <c r="E9" s="42"/>
      <c r="F9" s="47">
        <f>SUM(F2:F8)</f>
        <v>1289570.2</v>
      </c>
      <c r="G9" s="51">
        <f>SUM(G2:G8)</f>
        <v>26113.384095879384</v>
      </c>
    </row>
    <row r="12" spans="1:7" s="43" customFormat="1" ht="36" x14ac:dyDescent="0.35">
      <c r="B12" s="43" t="s">
        <v>63</v>
      </c>
      <c r="C12" s="41" t="s">
        <v>54</v>
      </c>
      <c r="D12" s="41" t="s">
        <v>64</v>
      </c>
      <c r="E12" s="41"/>
      <c r="F12" s="41"/>
    </row>
    <row r="13" spans="1:7" x14ac:dyDescent="0.3">
      <c r="A13" s="1" t="s">
        <v>56</v>
      </c>
      <c r="B13" s="44">
        <v>0.56200000000000006</v>
      </c>
      <c r="C13" s="46">
        <f>F2</f>
        <v>235481.4</v>
      </c>
      <c r="D13" s="48">
        <f>(C13/$C$20)*B13</f>
        <v>0.10262376317318748</v>
      </c>
    </row>
    <row r="14" spans="1:7" x14ac:dyDescent="0.3">
      <c r="A14" s="1" t="s">
        <v>57</v>
      </c>
      <c r="B14" s="45">
        <v>0.56999999999999995</v>
      </c>
      <c r="C14" s="46">
        <f t="shared" ref="C14:C20" si="3">F3</f>
        <v>169583.7</v>
      </c>
      <c r="D14" s="48">
        <f t="shared" ref="D14:D19" si="4">(C14/$C$20)*B14</f>
        <v>7.4957306705753596E-2</v>
      </c>
    </row>
    <row r="15" spans="1:7" x14ac:dyDescent="0.3">
      <c r="A15" s="1" t="s">
        <v>58</v>
      </c>
      <c r="B15" s="44">
        <v>0.57399999999999995</v>
      </c>
      <c r="C15" s="46">
        <f t="shared" si="3"/>
        <v>250729.30000000002</v>
      </c>
      <c r="D15" s="48">
        <f t="shared" si="4"/>
        <v>0.11160200367533307</v>
      </c>
    </row>
    <row r="16" spans="1:7" x14ac:dyDescent="0.3">
      <c r="A16" s="1" t="s">
        <v>59</v>
      </c>
      <c r="B16" s="44">
        <v>0.58799999999999997</v>
      </c>
      <c r="C16" s="46">
        <f t="shared" si="3"/>
        <v>194823.2</v>
      </c>
      <c r="D16" s="48">
        <f t="shared" si="4"/>
        <v>8.8832730160793114E-2</v>
      </c>
    </row>
    <row r="17" spans="1:4" x14ac:dyDescent="0.3">
      <c r="A17" s="1" t="s">
        <v>60</v>
      </c>
      <c r="B17" s="44">
        <v>0.57199999999999995</v>
      </c>
      <c r="C17" s="46">
        <f t="shared" si="3"/>
        <v>200670.4</v>
      </c>
      <c r="D17" s="48">
        <f t="shared" si="4"/>
        <v>8.9009089074794059E-2</v>
      </c>
    </row>
    <row r="18" spans="1:4" x14ac:dyDescent="0.3">
      <c r="A18" s="1" t="s">
        <v>61</v>
      </c>
      <c r="B18" s="44">
        <v>0.61499999999999999</v>
      </c>
      <c r="C18" s="46">
        <f t="shared" si="3"/>
        <v>135751.20000000001</v>
      </c>
      <c r="D18" s="48">
        <f t="shared" si="4"/>
        <v>6.4740165366724514E-2</v>
      </c>
    </row>
    <row r="19" spans="1:4" x14ac:dyDescent="0.3">
      <c r="A19" s="1" t="s">
        <v>62</v>
      </c>
      <c r="B19" s="44">
        <v>0.55100000000000005</v>
      </c>
      <c r="C19" s="46">
        <f t="shared" si="3"/>
        <v>102531</v>
      </c>
      <c r="D19" s="48">
        <f t="shared" si="4"/>
        <v>4.3808844993471478E-2</v>
      </c>
    </row>
    <row r="20" spans="1:4" x14ac:dyDescent="0.3">
      <c r="C20" s="47">
        <f t="shared" si="3"/>
        <v>1289570.2</v>
      </c>
      <c r="D20" s="49">
        <f>SUM(D13:D19)</f>
        <v>0.5755739031500573</v>
      </c>
    </row>
    <row r="26" spans="1:4" x14ac:dyDescent="0.3">
      <c r="B26" s="42" t="s">
        <v>69</v>
      </c>
      <c r="C26" s="42" t="s">
        <v>54</v>
      </c>
      <c r="D26" s="42" t="s">
        <v>68</v>
      </c>
    </row>
    <row r="27" spans="1:4" x14ac:dyDescent="0.3">
      <c r="A27" s="1" t="s">
        <v>56</v>
      </c>
      <c r="B27" s="44">
        <v>0.21299999999999999</v>
      </c>
      <c r="C27" s="46">
        <f>F2</f>
        <v>235481.4</v>
      </c>
      <c r="D27" s="57">
        <f>(B27/$C$34)*C27</f>
        <v>3.8894771451759659E-2</v>
      </c>
    </row>
    <row r="28" spans="1:4" x14ac:dyDescent="0.3">
      <c r="A28" s="1" t="s">
        <v>57</v>
      </c>
      <c r="B28" s="44">
        <v>0.16400000000000001</v>
      </c>
      <c r="C28" s="46">
        <f t="shared" ref="C28:C34" si="5">F3</f>
        <v>169583.7</v>
      </c>
      <c r="D28" s="57">
        <f t="shared" ref="D28:D33" si="6">(B28/$C$34)*C28</f>
        <v>2.1566663683760687E-2</v>
      </c>
    </row>
    <row r="29" spans="1:4" x14ac:dyDescent="0.3">
      <c r="A29" s="1" t="s">
        <v>58</v>
      </c>
      <c r="B29" s="44">
        <v>0.19500000000000001</v>
      </c>
      <c r="C29" s="46">
        <f t="shared" si="5"/>
        <v>250729.30000000002</v>
      </c>
      <c r="D29" s="57">
        <f t="shared" si="6"/>
        <v>3.7913572677160196E-2</v>
      </c>
    </row>
    <row r="30" spans="1:4" x14ac:dyDescent="0.3">
      <c r="A30" s="1" t="s">
        <v>59</v>
      </c>
      <c r="B30" s="44">
        <v>0.20399999999999999</v>
      </c>
      <c r="C30" s="46">
        <f t="shared" si="5"/>
        <v>194823.2</v>
      </c>
      <c r="D30" s="57">
        <f t="shared" si="6"/>
        <v>3.0819518627213938E-2</v>
      </c>
    </row>
    <row r="31" spans="1:4" x14ac:dyDescent="0.3">
      <c r="A31" s="1" t="s">
        <v>60</v>
      </c>
      <c r="B31" s="44">
        <v>0.216</v>
      </c>
      <c r="C31" s="46">
        <f t="shared" si="5"/>
        <v>200670.4</v>
      </c>
      <c r="D31" s="57">
        <f t="shared" si="6"/>
        <v>3.3611823846425727E-2</v>
      </c>
    </row>
    <row r="32" spans="1:4" x14ac:dyDescent="0.3">
      <c r="A32" s="1" t="s">
        <v>61</v>
      </c>
      <c r="B32" s="44">
        <v>0.216</v>
      </c>
      <c r="C32" s="46">
        <f t="shared" si="5"/>
        <v>135751.20000000001</v>
      </c>
      <c r="D32" s="57">
        <f t="shared" si="6"/>
        <v>2.2738009299532513E-2</v>
      </c>
    </row>
    <row r="33" spans="1:4" x14ac:dyDescent="0.3">
      <c r="A33" s="1" t="s">
        <v>62</v>
      </c>
      <c r="B33" s="44">
        <v>0.316</v>
      </c>
      <c r="C33" s="46">
        <f t="shared" si="5"/>
        <v>102531</v>
      </c>
      <c r="D33" s="57">
        <f t="shared" si="6"/>
        <v>2.5124491865584363E-2</v>
      </c>
    </row>
    <row r="34" spans="1:4" x14ac:dyDescent="0.3">
      <c r="C34" s="47">
        <f t="shared" si="5"/>
        <v>1289570.2</v>
      </c>
      <c r="D34" s="48">
        <f>SUM(D27:D33)</f>
        <v>0.21066885145143707</v>
      </c>
    </row>
    <row r="36" spans="1:4" x14ac:dyDescent="0.3">
      <c r="B36" s="42"/>
      <c r="C36" s="42"/>
      <c r="D36" s="42"/>
    </row>
    <row r="37" spans="1:4" x14ac:dyDescent="0.3">
      <c r="B37" s="44"/>
      <c r="C37" s="46"/>
      <c r="D37" s="58"/>
    </row>
    <row r="38" spans="1:4" x14ac:dyDescent="0.3">
      <c r="B38" s="44"/>
      <c r="C38" s="46"/>
      <c r="D38" s="58"/>
    </row>
    <row r="39" spans="1:4" x14ac:dyDescent="0.3">
      <c r="B39" s="44"/>
      <c r="C39" s="46"/>
      <c r="D39" s="58"/>
    </row>
    <row r="40" spans="1:4" x14ac:dyDescent="0.3">
      <c r="B40" s="44"/>
      <c r="C40" s="46"/>
      <c r="D40" s="58"/>
    </row>
    <row r="41" spans="1:4" x14ac:dyDescent="0.3">
      <c r="B41" s="44"/>
      <c r="C41" s="46"/>
      <c r="D41" s="58"/>
    </row>
    <row r="42" spans="1:4" x14ac:dyDescent="0.3">
      <c r="B42" s="44"/>
      <c r="C42" s="46"/>
      <c r="D42" s="58"/>
    </row>
    <row r="43" spans="1:4" x14ac:dyDescent="0.3">
      <c r="B43" s="44"/>
      <c r="C43" s="46"/>
      <c r="D43" s="58"/>
    </row>
    <row r="44" spans="1:4" x14ac:dyDescent="0.3">
      <c r="C44" s="47"/>
      <c r="D44" s="59"/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48A18-062F-3249-A9F3-B4DE9B708086}">
  <dimension ref="A1:Q40"/>
  <sheetViews>
    <sheetView workbookViewId="0">
      <selection activeCell="L44" sqref="L44"/>
    </sheetView>
  </sheetViews>
  <sheetFormatPr defaultColWidth="10.81640625" defaultRowHeight="15.5" x14ac:dyDescent="0.35"/>
  <cols>
    <col min="1" max="11" width="10.81640625" style="62"/>
    <col min="12" max="12" width="12.1796875" style="62" bestFit="1" customWidth="1"/>
    <col min="13" max="16384" width="10.81640625" style="62"/>
  </cols>
  <sheetData>
    <row r="1" spans="1:16" x14ac:dyDescent="0.35">
      <c r="A1" s="63" t="s">
        <v>73</v>
      </c>
    </row>
    <row r="2" spans="1:16" x14ac:dyDescent="0.35">
      <c r="A2" s="62" t="s">
        <v>74</v>
      </c>
    </row>
    <row r="3" spans="1:16" x14ac:dyDescent="0.35">
      <c r="A3" s="62" t="s">
        <v>75</v>
      </c>
    </row>
    <row r="5" spans="1:16" x14ac:dyDescent="0.35">
      <c r="B5" s="63" t="s">
        <v>76</v>
      </c>
    </row>
    <row r="6" spans="1:16" x14ac:dyDescent="0.35">
      <c r="B6" s="62" t="s">
        <v>77</v>
      </c>
      <c r="C6" s="62" t="s">
        <v>78</v>
      </c>
      <c r="D6" s="62" t="s">
        <v>79</v>
      </c>
      <c r="E6" s="62" t="s">
        <v>80</v>
      </c>
      <c r="F6" s="62" t="s">
        <v>81</v>
      </c>
      <c r="G6" s="62" t="s">
        <v>82</v>
      </c>
      <c r="H6" s="62" t="s">
        <v>83</v>
      </c>
      <c r="I6" s="62" t="s">
        <v>84</v>
      </c>
      <c r="J6" s="62" t="s">
        <v>85</v>
      </c>
      <c r="K6" s="62" t="s">
        <v>86</v>
      </c>
      <c r="L6" s="62" t="s">
        <v>87</v>
      </c>
      <c r="M6" s="62" t="s">
        <v>88</v>
      </c>
      <c r="N6" s="62" t="s">
        <v>89</v>
      </c>
      <c r="O6" s="62" t="s">
        <v>90</v>
      </c>
      <c r="P6" s="62" t="s">
        <v>91</v>
      </c>
    </row>
    <row r="7" spans="1:16" x14ac:dyDescent="0.35">
      <c r="B7" s="62">
        <v>1</v>
      </c>
      <c r="C7" s="62">
        <v>6</v>
      </c>
      <c r="D7" s="62">
        <v>56</v>
      </c>
      <c r="E7" s="62">
        <v>562</v>
      </c>
      <c r="F7" s="62">
        <v>1019</v>
      </c>
      <c r="G7" s="62">
        <v>286</v>
      </c>
      <c r="H7" s="62">
        <v>701</v>
      </c>
      <c r="I7" s="62">
        <v>1467</v>
      </c>
      <c r="J7" s="62">
        <v>787</v>
      </c>
      <c r="K7" s="62">
        <v>505</v>
      </c>
      <c r="L7" s="62">
        <v>325</v>
      </c>
      <c r="M7" s="62">
        <v>156</v>
      </c>
      <c r="N7" s="62">
        <v>34</v>
      </c>
      <c r="O7" s="62">
        <v>6</v>
      </c>
      <c r="P7" s="62">
        <f>SUM(C7:O7)</f>
        <v>5910</v>
      </c>
    </row>
    <row r="8" spans="1:16" x14ac:dyDescent="0.35">
      <c r="B8" s="62">
        <v>2</v>
      </c>
      <c r="C8" s="62">
        <v>8</v>
      </c>
      <c r="D8" s="62">
        <v>62</v>
      </c>
      <c r="E8" s="62">
        <v>303</v>
      </c>
      <c r="F8" s="62">
        <v>475</v>
      </c>
      <c r="G8" s="62">
        <v>157</v>
      </c>
      <c r="H8" s="62">
        <v>725</v>
      </c>
      <c r="I8" s="62">
        <v>2309</v>
      </c>
      <c r="J8" s="62">
        <v>1633</v>
      </c>
      <c r="K8" s="62">
        <v>1559</v>
      </c>
      <c r="L8" s="62">
        <v>1815</v>
      </c>
      <c r="M8" s="62">
        <v>1744</v>
      </c>
      <c r="N8" s="62">
        <v>894</v>
      </c>
      <c r="O8" s="62">
        <v>135</v>
      </c>
      <c r="P8" s="62">
        <f t="shared" ref="P8:P12" si="0">SUM(C8:O8)</f>
        <v>11819</v>
      </c>
    </row>
    <row r="9" spans="1:16" x14ac:dyDescent="0.35">
      <c r="B9" s="62">
        <v>3</v>
      </c>
      <c r="C9" s="62">
        <v>22</v>
      </c>
      <c r="D9" s="62">
        <v>61</v>
      </c>
      <c r="E9" s="62">
        <v>153</v>
      </c>
      <c r="F9" s="62">
        <v>183</v>
      </c>
      <c r="G9" s="62">
        <v>31</v>
      </c>
      <c r="H9" s="62">
        <v>99</v>
      </c>
      <c r="I9" s="62">
        <v>274</v>
      </c>
      <c r="J9" s="62">
        <v>304</v>
      </c>
      <c r="K9" s="62">
        <v>515</v>
      </c>
      <c r="L9" s="62">
        <v>918</v>
      </c>
      <c r="M9" s="62">
        <v>1295</v>
      </c>
      <c r="N9" s="62">
        <v>1195</v>
      </c>
      <c r="O9" s="62">
        <v>458</v>
      </c>
      <c r="P9" s="62">
        <f t="shared" si="0"/>
        <v>5508</v>
      </c>
    </row>
    <row r="10" spans="1:16" x14ac:dyDescent="0.35">
      <c r="B10" s="62">
        <v>4</v>
      </c>
      <c r="C10" s="62">
        <v>9</v>
      </c>
      <c r="D10" s="62">
        <v>17</v>
      </c>
      <c r="E10" s="62">
        <v>16</v>
      </c>
      <c r="F10" s="62">
        <v>17</v>
      </c>
      <c r="G10" s="62">
        <v>7</v>
      </c>
      <c r="H10" s="62">
        <v>13</v>
      </c>
      <c r="I10" s="62">
        <v>27</v>
      </c>
      <c r="J10" s="62">
        <v>38</v>
      </c>
      <c r="K10" s="62">
        <v>68</v>
      </c>
      <c r="L10" s="62">
        <v>130</v>
      </c>
      <c r="M10" s="62">
        <v>179</v>
      </c>
      <c r="N10" s="62">
        <v>192</v>
      </c>
      <c r="O10" s="62">
        <v>156</v>
      </c>
      <c r="P10" s="62">
        <f t="shared" si="0"/>
        <v>869</v>
      </c>
    </row>
    <row r="11" spans="1:16" x14ac:dyDescent="0.35">
      <c r="B11" s="62">
        <v>5</v>
      </c>
      <c r="C11" s="62">
        <v>2</v>
      </c>
      <c r="D11" s="62">
        <v>1</v>
      </c>
      <c r="E11" s="62">
        <v>0</v>
      </c>
      <c r="F11" s="62">
        <v>2</v>
      </c>
      <c r="G11" s="62">
        <v>0</v>
      </c>
      <c r="H11" s="62">
        <v>2</v>
      </c>
      <c r="I11" s="62">
        <v>1</v>
      </c>
      <c r="J11" s="62">
        <v>3</v>
      </c>
      <c r="K11" s="62">
        <v>12</v>
      </c>
      <c r="L11" s="62">
        <v>7</v>
      </c>
      <c r="M11" s="62">
        <v>8</v>
      </c>
      <c r="N11" s="62">
        <v>8</v>
      </c>
      <c r="O11" s="62">
        <v>3</v>
      </c>
      <c r="P11" s="62">
        <f t="shared" si="0"/>
        <v>49</v>
      </c>
    </row>
    <row r="12" spans="1:16" x14ac:dyDescent="0.35">
      <c r="B12" s="62">
        <v>6</v>
      </c>
      <c r="C12" s="62">
        <v>0</v>
      </c>
      <c r="D12" s="62">
        <v>0</v>
      </c>
      <c r="E12" s="62">
        <v>0</v>
      </c>
      <c r="F12" s="62">
        <v>0</v>
      </c>
      <c r="G12" s="62">
        <v>0</v>
      </c>
      <c r="H12" s="62">
        <v>1</v>
      </c>
      <c r="I12" s="62">
        <v>5</v>
      </c>
      <c r="J12" s="62">
        <v>1</v>
      </c>
      <c r="K12" s="62">
        <v>2</v>
      </c>
      <c r="L12" s="62">
        <v>5</v>
      </c>
      <c r="M12" s="62">
        <v>3</v>
      </c>
      <c r="N12" s="62">
        <v>0</v>
      </c>
      <c r="O12" s="62">
        <v>0</v>
      </c>
      <c r="P12" s="62">
        <f t="shared" si="0"/>
        <v>17</v>
      </c>
    </row>
    <row r="13" spans="1:16" x14ac:dyDescent="0.35">
      <c r="C13" s="62">
        <f>SUM(C7:C12)</f>
        <v>47</v>
      </c>
      <c r="D13" s="62">
        <f t="shared" ref="D13:P13" si="1">SUM(D7:D12)</f>
        <v>197</v>
      </c>
      <c r="E13" s="62">
        <f t="shared" si="1"/>
        <v>1034</v>
      </c>
      <c r="F13" s="62">
        <f t="shared" si="1"/>
        <v>1696</v>
      </c>
      <c r="G13" s="62">
        <f t="shared" si="1"/>
        <v>481</v>
      </c>
      <c r="H13" s="62">
        <f t="shared" si="1"/>
        <v>1541</v>
      </c>
      <c r="I13" s="62">
        <f t="shared" si="1"/>
        <v>4083</v>
      </c>
      <c r="J13" s="62">
        <f t="shared" si="1"/>
        <v>2766</v>
      </c>
      <c r="K13" s="62">
        <f t="shared" si="1"/>
        <v>2661</v>
      </c>
      <c r="L13" s="62">
        <f t="shared" si="1"/>
        <v>3200</v>
      </c>
      <c r="M13" s="62">
        <f t="shared" si="1"/>
        <v>3385</v>
      </c>
      <c r="N13" s="62">
        <f t="shared" si="1"/>
        <v>2323</v>
      </c>
      <c r="O13" s="62">
        <f t="shared" si="1"/>
        <v>758</v>
      </c>
      <c r="P13" s="62">
        <f t="shared" si="1"/>
        <v>24172</v>
      </c>
    </row>
    <row r="15" spans="1:16" x14ac:dyDescent="0.35">
      <c r="B15" s="63" t="s">
        <v>92</v>
      </c>
    </row>
    <row r="16" spans="1:16" x14ac:dyDescent="0.35">
      <c r="B16" s="62" t="s">
        <v>77</v>
      </c>
      <c r="C16" s="62" t="s">
        <v>78</v>
      </c>
      <c r="D16" s="62" t="s">
        <v>79</v>
      </c>
      <c r="E16" s="62" t="s">
        <v>80</v>
      </c>
      <c r="F16" s="62" t="s">
        <v>81</v>
      </c>
      <c r="G16" s="62" t="s">
        <v>82</v>
      </c>
      <c r="H16" s="62" t="s">
        <v>83</v>
      </c>
      <c r="I16" s="62" t="s">
        <v>84</v>
      </c>
      <c r="J16" s="62" t="s">
        <v>85</v>
      </c>
      <c r="K16" s="62" t="s">
        <v>86</v>
      </c>
      <c r="L16" s="62" t="s">
        <v>87</v>
      </c>
      <c r="M16" s="62" t="s">
        <v>88</v>
      </c>
      <c r="N16" s="62" t="s">
        <v>89</v>
      </c>
      <c r="O16" s="62" t="s">
        <v>90</v>
      </c>
    </row>
    <row r="17" spans="2:17" x14ac:dyDescent="0.35">
      <c r="B17" s="62">
        <v>1</v>
      </c>
      <c r="C17" s="64">
        <f t="shared" ref="C17:O17" si="2">C7/$P7</f>
        <v>1.0152284263959391E-3</v>
      </c>
      <c r="D17" s="64">
        <f t="shared" si="2"/>
        <v>9.475465313028765E-3</v>
      </c>
      <c r="E17" s="64">
        <f t="shared" si="2"/>
        <v>9.5093062605752968E-2</v>
      </c>
      <c r="F17" s="64">
        <f t="shared" si="2"/>
        <v>0.17241962774957698</v>
      </c>
      <c r="G17" s="64">
        <f t="shared" si="2"/>
        <v>4.8392554991539764E-2</v>
      </c>
      <c r="H17" s="64">
        <f t="shared" si="2"/>
        <v>0.11861252115059222</v>
      </c>
      <c r="I17" s="64">
        <f t="shared" si="2"/>
        <v>0.2482233502538071</v>
      </c>
      <c r="J17" s="64">
        <f t="shared" si="2"/>
        <v>0.13316412859560067</v>
      </c>
      <c r="K17" s="64">
        <f t="shared" si="2"/>
        <v>8.5448392554991537E-2</v>
      </c>
      <c r="L17" s="64">
        <f t="shared" si="2"/>
        <v>5.499153976311337E-2</v>
      </c>
      <c r="M17" s="64">
        <f t="shared" si="2"/>
        <v>2.6395939086294416E-2</v>
      </c>
      <c r="N17" s="64">
        <f t="shared" si="2"/>
        <v>5.7529610829103218E-3</v>
      </c>
      <c r="O17" s="64">
        <f t="shared" si="2"/>
        <v>1.0152284263959391E-3</v>
      </c>
      <c r="P17" s="64">
        <f>SUM(C17:O17)</f>
        <v>1.0000000000000002</v>
      </c>
    </row>
    <row r="18" spans="2:17" x14ac:dyDescent="0.35">
      <c r="B18" s="62">
        <v>2</v>
      </c>
      <c r="C18" s="64">
        <f t="shared" ref="C18:O18" si="3">C8/$P8</f>
        <v>6.7687621626195114E-4</v>
      </c>
      <c r="D18" s="64">
        <f t="shared" si="3"/>
        <v>5.2457906760301209E-3</v>
      </c>
      <c r="E18" s="64">
        <f t="shared" si="3"/>
        <v>2.5636686690921399E-2</v>
      </c>
      <c r="F18" s="64">
        <f t="shared" si="3"/>
        <v>4.0189525340553346E-2</v>
      </c>
      <c r="G18" s="64">
        <f t="shared" si="3"/>
        <v>1.3283695744140791E-2</v>
      </c>
      <c r="H18" s="64">
        <f t="shared" si="3"/>
        <v>6.1341907098739316E-2</v>
      </c>
      <c r="I18" s="64">
        <f t="shared" si="3"/>
        <v>0.19536339791860563</v>
      </c>
      <c r="J18" s="64">
        <f t="shared" si="3"/>
        <v>0.13816735764447077</v>
      </c>
      <c r="K18" s="64">
        <f t="shared" si="3"/>
        <v>0.13190625264404773</v>
      </c>
      <c r="L18" s="64">
        <f t="shared" si="3"/>
        <v>0.15356629156443016</v>
      </c>
      <c r="M18" s="64">
        <f t="shared" si="3"/>
        <v>0.14755901514510533</v>
      </c>
      <c r="N18" s="64">
        <f t="shared" si="3"/>
        <v>7.5640917167273031E-2</v>
      </c>
      <c r="O18" s="64">
        <f t="shared" si="3"/>
        <v>1.1422286149420424E-2</v>
      </c>
      <c r="P18" s="64">
        <f t="shared" ref="P18:P22" si="4">SUM(C18:O18)</f>
        <v>1</v>
      </c>
    </row>
    <row r="19" spans="2:17" x14ac:dyDescent="0.35">
      <c r="B19" s="62">
        <v>3</v>
      </c>
      <c r="C19" s="64">
        <f t="shared" ref="C19:O19" si="5">C9/$P9</f>
        <v>3.9941902687000725E-3</v>
      </c>
      <c r="D19" s="64">
        <f t="shared" si="5"/>
        <v>1.1074800290486565E-2</v>
      </c>
      <c r="E19" s="64">
        <f t="shared" si="5"/>
        <v>2.7777777777777776E-2</v>
      </c>
      <c r="F19" s="64">
        <f t="shared" si="5"/>
        <v>3.3224400871459697E-2</v>
      </c>
      <c r="G19" s="64">
        <f t="shared" si="5"/>
        <v>5.6281771968046479E-3</v>
      </c>
      <c r="H19" s="64">
        <f t="shared" si="5"/>
        <v>1.7973856209150325E-2</v>
      </c>
      <c r="I19" s="64">
        <f t="shared" si="5"/>
        <v>4.9745824255628179E-2</v>
      </c>
      <c r="J19" s="64">
        <f t="shared" si="5"/>
        <v>5.5192447349310093E-2</v>
      </c>
      <c r="K19" s="64">
        <f t="shared" si="5"/>
        <v>9.3500363108206239E-2</v>
      </c>
      <c r="L19" s="64">
        <f t="shared" si="5"/>
        <v>0.16666666666666666</v>
      </c>
      <c r="M19" s="64">
        <f t="shared" si="5"/>
        <v>0.23511256354393609</v>
      </c>
      <c r="N19" s="64">
        <f t="shared" si="5"/>
        <v>0.21695715323166304</v>
      </c>
      <c r="O19" s="64">
        <f t="shared" si="5"/>
        <v>8.315177923021061E-2</v>
      </c>
      <c r="P19" s="64">
        <f t="shared" si="4"/>
        <v>1</v>
      </c>
    </row>
    <row r="20" spans="2:17" x14ac:dyDescent="0.35">
      <c r="B20" s="62">
        <v>4</v>
      </c>
      <c r="C20" s="64">
        <f t="shared" ref="C20:O20" si="6">C10/$P10</f>
        <v>1.0356731875719217E-2</v>
      </c>
      <c r="D20" s="64">
        <f t="shared" si="6"/>
        <v>1.9562715765247412E-2</v>
      </c>
      <c r="E20" s="64">
        <f t="shared" si="6"/>
        <v>1.8411967779056387E-2</v>
      </c>
      <c r="F20" s="64">
        <f t="shared" si="6"/>
        <v>1.9562715765247412E-2</v>
      </c>
      <c r="G20" s="64">
        <f t="shared" si="6"/>
        <v>8.0552359033371698E-3</v>
      </c>
      <c r="H20" s="64">
        <f t="shared" si="6"/>
        <v>1.4959723820483314E-2</v>
      </c>
      <c r="I20" s="64">
        <f t="shared" si="6"/>
        <v>3.1070195627157654E-2</v>
      </c>
      <c r="J20" s="64">
        <f t="shared" si="6"/>
        <v>4.3728423475258918E-2</v>
      </c>
      <c r="K20" s="64">
        <f t="shared" si="6"/>
        <v>7.8250863060989648E-2</v>
      </c>
      <c r="L20" s="64">
        <f t="shared" si="6"/>
        <v>0.14959723820483314</v>
      </c>
      <c r="M20" s="64">
        <f t="shared" si="6"/>
        <v>0.20598388952819333</v>
      </c>
      <c r="N20" s="64">
        <f t="shared" si="6"/>
        <v>0.22094361334867663</v>
      </c>
      <c r="O20" s="64">
        <f t="shared" si="6"/>
        <v>0.17951668584579977</v>
      </c>
      <c r="P20" s="64">
        <f t="shared" si="4"/>
        <v>1</v>
      </c>
    </row>
    <row r="21" spans="2:17" x14ac:dyDescent="0.35">
      <c r="B21" s="62">
        <v>5</v>
      </c>
      <c r="C21" s="64">
        <f t="shared" ref="C21:O21" si="7">C11/$P11</f>
        <v>4.0816326530612242E-2</v>
      </c>
      <c r="D21" s="64">
        <f t="shared" si="7"/>
        <v>2.0408163265306121E-2</v>
      </c>
      <c r="E21" s="64">
        <f t="shared" si="7"/>
        <v>0</v>
      </c>
      <c r="F21" s="64">
        <f t="shared" si="7"/>
        <v>4.0816326530612242E-2</v>
      </c>
      <c r="G21" s="64">
        <f t="shared" si="7"/>
        <v>0</v>
      </c>
      <c r="H21" s="64">
        <f t="shared" si="7"/>
        <v>4.0816326530612242E-2</v>
      </c>
      <c r="I21" s="64">
        <f t="shared" si="7"/>
        <v>2.0408163265306121E-2</v>
      </c>
      <c r="J21" s="64">
        <f t="shared" si="7"/>
        <v>6.1224489795918366E-2</v>
      </c>
      <c r="K21" s="64">
        <f t="shared" si="7"/>
        <v>0.24489795918367346</v>
      </c>
      <c r="L21" s="64">
        <f t="shared" si="7"/>
        <v>0.14285714285714285</v>
      </c>
      <c r="M21" s="64">
        <f t="shared" si="7"/>
        <v>0.16326530612244897</v>
      </c>
      <c r="N21" s="64">
        <f t="shared" si="7"/>
        <v>0.16326530612244897</v>
      </c>
      <c r="O21" s="64">
        <f t="shared" si="7"/>
        <v>6.1224489795918366E-2</v>
      </c>
      <c r="P21" s="64">
        <f t="shared" si="4"/>
        <v>0.99999999999999989</v>
      </c>
    </row>
    <row r="22" spans="2:17" x14ac:dyDescent="0.35">
      <c r="B22" s="62">
        <v>6</v>
      </c>
      <c r="C22" s="64">
        <f t="shared" ref="C22:O22" si="8">C12/$P12</f>
        <v>0</v>
      </c>
      <c r="D22" s="64">
        <f t="shared" si="8"/>
        <v>0</v>
      </c>
      <c r="E22" s="64">
        <f t="shared" si="8"/>
        <v>0</v>
      </c>
      <c r="F22" s="64">
        <f t="shared" si="8"/>
        <v>0</v>
      </c>
      <c r="G22" s="64">
        <f t="shared" si="8"/>
        <v>0</v>
      </c>
      <c r="H22" s="64">
        <f t="shared" si="8"/>
        <v>5.8823529411764705E-2</v>
      </c>
      <c r="I22" s="64">
        <f t="shared" si="8"/>
        <v>0.29411764705882354</v>
      </c>
      <c r="J22" s="64">
        <f t="shared" si="8"/>
        <v>5.8823529411764705E-2</v>
      </c>
      <c r="K22" s="64">
        <f t="shared" si="8"/>
        <v>0.11764705882352941</v>
      </c>
      <c r="L22" s="64">
        <f t="shared" si="8"/>
        <v>0.29411764705882354</v>
      </c>
      <c r="M22" s="64">
        <f t="shared" si="8"/>
        <v>0.17647058823529413</v>
      </c>
      <c r="N22" s="64">
        <f t="shared" si="8"/>
        <v>0</v>
      </c>
      <c r="O22" s="64">
        <f t="shared" si="8"/>
        <v>0</v>
      </c>
      <c r="P22" s="64">
        <f t="shared" si="4"/>
        <v>1</v>
      </c>
    </row>
    <row r="23" spans="2:17" x14ac:dyDescent="0.35"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</row>
    <row r="25" spans="2:17" x14ac:dyDescent="0.35">
      <c r="B25" s="63" t="s">
        <v>92</v>
      </c>
    </row>
    <row r="26" spans="2:17" x14ac:dyDescent="0.35">
      <c r="B26" s="62" t="s">
        <v>77</v>
      </c>
      <c r="C26" s="62" t="s">
        <v>93</v>
      </c>
      <c r="D26" s="62" t="s">
        <v>94</v>
      </c>
      <c r="E26" s="62" t="s">
        <v>95</v>
      </c>
      <c r="F26" s="62" t="s">
        <v>88</v>
      </c>
      <c r="G26" s="62" t="s">
        <v>89</v>
      </c>
      <c r="H26" s="62" t="s">
        <v>90</v>
      </c>
    </row>
    <row r="27" spans="2:17" x14ac:dyDescent="0.35">
      <c r="B27" s="62">
        <v>1</v>
      </c>
      <c r="C27" s="65">
        <f>C17+D17</f>
        <v>1.0490693739424704E-2</v>
      </c>
      <c r="D27" s="65">
        <f>E17+F17</f>
        <v>0.26751269035532993</v>
      </c>
      <c r="E27" s="65">
        <f>SUM(G17:L17)</f>
        <v>0.68883248730964453</v>
      </c>
      <c r="F27" s="65">
        <f>M17</f>
        <v>2.6395939086294416E-2</v>
      </c>
      <c r="G27" s="65">
        <f t="shared" ref="G27:H32" si="9">N17</f>
        <v>5.7529610829103218E-3</v>
      </c>
      <c r="H27" s="65">
        <f t="shared" si="9"/>
        <v>1.0152284263959391E-3</v>
      </c>
      <c r="L27" s="65"/>
    </row>
    <row r="28" spans="2:17" x14ac:dyDescent="0.35">
      <c r="B28" s="62">
        <v>2</v>
      </c>
      <c r="C28" s="65">
        <f t="shared" ref="C28:C32" si="10">C18+D18</f>
        <v>5.9226668922920719E-3</v>
      </c>
      <c r="D28" s="65">
        <f t="shared" ref="D28:D32" si="11">E18+F18</f>
        <v>6.5826212031474748E-2</v>
      </c>
      <c r="E28" s="65">
        <f t="shared" ref="E28:E32" si="12">SUM(G18:L18)</f>
        <v>0.69362890261443444</v>
      </c>
      <c r="F28" s="65">
        <f t="shared" ref="F28:F32" si="13">M18</f>
        <v>0.14755901514510533</v>
      </c>
      <c r="G28" s="65">
        <f t="shared" si="9"/>
        <v>7.5640917167273031E-2</v>
      </c>
      <c r="H28" s="65">
        <f t="shared" si="9"/>
        <v>1.1422286149420424E-2</v>
      </c>
      <c r="L28" s="64"/>
      <c r="M28" s="64"/>
      <c r="N28" s="64"/>
      <c r="O28" s="64"/>
      <c r="P28" s="64"/>
      <c r="Q28" s="64"/>
    </row>
    <row r="29" spans="2:17" x14ac:dyDescent="0.35">
      <c r="B29" s="62">
        <v>3</v>
      </c>
      <c r="C29" s="65">
        <f t="shared" si="10"/>
        <v>1.5068990559186637E-2</v>
      </c>
      <c r="D29" s="65">
        <f t="shared" si="11"/>
        <v>6.1002178649237473E-2</v>
      </c>
      <c r="E29" s="65">
        <f t="shared" si="12"/>
        <v>0.38870733478576613</v>
      </c>
      <c r="F29" s="65">
        <f t="shared" si="13"/>
        <v>0.23511256354393609</v>
      </c>
      <c r="G29" s="65">
        <f t="shared" si="9"/>
        <v>0.21695715323166304</v>
      </c>
      <c r="H29" s="65">
        <f t="shared" si="9"/>
        <v>8.315177923021061E-2</v>
      </c>
    </row>
    <row r="30" spans="2:17" x14ac:dyDescent="0.35">
      <c r="B30" s="62">
        <v>4</v>
      </c>
      <c r="C30" s="65">
        <f t="shared" si="10"/>
        <v>2.9919447640966629E-2</v>
      </c>
      <c r="D30" s="65">
        <f t="shared" si="11"/>
        <v>3.7974683544303799E-2</v>
      </c>
      <c r="E30" s="65">
        <f t="shared" si="12"/>
        <v>0.32566168009205987</v>
      </c>
      <c r="F30" s="65">
        <f t="shared" si="13"/>
        <v>0.20598388952819333</v>
      </c>
      <c r="G30" s="65">
        <f t="shared" si="9"/>
        <v>0.22094361334867663</v>
      </c>
      <c r="H30" s="65">
        <f t="shared" si="9"/>
        <v>0.17951668584579977</v>
      </c>
    </row>
    <row r="31" spans="2:17" x14ac:dyDescent="0.35">
      <c r="B31" s="62">
        <v>5</v>
      </c>
      <c r="C31" s="65">
        <f t="shared" si="10"/>
        <v>6.1224489795918366E-2</v>
      </c>
      <c r="D31" s="65">
        <f t="shared" si="11"/>
        <v>4.0816326530612242E-2</v>
      </c>
      <c r="E31" s="65">
        <f t="shared" si="12"/>
        <v>0.51020408163265296</v>
      </c>
      <c r="F31" s="65">
        <f t="shared" si="13"/>
        <v>0.16326530612244897</v>
      </c>
      <c r="G31" s="65">
        <f t="shared" si="9"/>
        <v>0.16326530612244897</v>
      </c>
      <c r="H31" s="65">
        <f t="shared" si="9"/>
        <v>6.1224489795918366E-2</v>
      </c>
    </row>
    <row r="32" spans="2:17" x14ac:dyDescent="0.35">
      <c r="B32" s="62">
        <v>6</v>
      </c>
      <c r="C32" s="65">
        <f t="shared" si="10"/>
        <v>0</v>
      </c>
      <c r="D32" s="65">
        <f t="shared" si="11"/>
        <v>0</v>
      </c>
      <c r="E32" s="65">
        <f t="shared" si="12"/>
        <v>0.82352941176470584</v>
      </c>
      <c r="F32" s="65">
        <f t="shared" si="13"/>
        <v>0.17647058823529413</v>
      </c>
      <c r="G32" s="65">
        <f t="shared" si="9"/>
        <v>0</v>
      </c>
      <c r="H32" s="65">
        <f t="shared" si="9"/>
        <v>0</v>
      </c>
    </row>
    <row r="34" spans="2:8" x14ac:dyDescent="0.35">
      <c r="B34" s="63" t="s">
        <v>96</v>
      </c>
    </row>
    <row r="35" spans="2:8" x14ac:dyDescent="0.35">
      <c r="B35" s="62" t="s">
        <v>77</v>
      </c>
      <c r="C35" s="62" t="s">
        <v>93</v>
      </c>
      <c r="D35" s="62" t="s">
        <v>94</v>
      </c>
      <c r="E35" s="62" t="s">
        <v>95</v>
      </c>
      <c r="F35" s="62" t="s">
        <v>88</v>
      </c>
      <c r="G35" s="62" t="s">
        <v>89</v>
      </c>
      <c r="H35" s="62" t="s">
        <v>90</v>
      </c>
    </row>
    <row r="36" spans="2:8" x14ac:dyDescent="0.35">
      <c r="B36" s="62" t="s">
        <v>97</v>
      </c>
      <c r="C36" s="66">
        <f t="shared" ref="C36:H36" si="14">AVERAGE(C27:C28)</f>
        <v>8.206680315858389E-3</v>
      </c>
      <c r="D36" s="66">
        <f t="shared" si="14"/>
        <v>0.16666945119340235</v>
      </c>
      <c r="E36" s="66">
        <f t="shared" si="14"/>
        <v>0.69123069496203948</v>
      </c>
      <c r="F36" s="66">
        <f t="shared" si="14"/>
        <v>8.6977477115699878E-2</v>
      </c>
      <c r="G36" s="66">
        <f t="shared" si="14"/>
        <v>4.0696939125091675E-2</v>
      </c>
      <c r="H36" s="66">
        <f t="shared" si="14"/>
        <v>6.2187572879081818E-3</v>
      </c>
    </row>
    <row r="38" spans="2:8" x14ac:dyDescent="0.35">
      <c r="B38" s="63" t="s">
        <v>96</v>
      </c>
      <c r="G38" s="66"/>
    </row>
    <row r="39" spans="2:8" x14ac:dyDescent="0.35">
      <c r="B39" s="62" t="s">
        <v>77</v>
      </c>
      <c r="C39" s="62" t="s">
        <v>99</v>
      </c>
      <c r="D39" s="62" t="s">
        <v>95</v>
      </c>
      <c r="E39" s="62" t="s">
        <v>98</v>
      </c>
    </row>
    <row r="40" spans="2:8" x14ac:dyDescent="0.35">
      <c r="B40" s="62" t="s">
        <v>97</v>
      </c>
      <c r="C40" s="66">
        <f>SUM(C36:D36)</f>
        <v>0.17487613150926073</v>
      </c>
      <c r="D40" s="66">
        <f>SUM(E36)</f>
        <v>0.69123069496203948</v>
      </c>
      <c r="E40" s="66">
        <f>SUM(F36:H36)</f>
        <v>0.13389317352869975</v>
      </c>
    </row>
  </sheetData>
  <conditionalFormatting sqref="C17:O22">
    <cfRule type="colorScale" priority="4">
      <colorScale>
        <cfvo type="min"/>
        <cfvo type="percentile" val="50"/>
        <cfvo type="max"/>
        <color theme="0"/>
        <color rgb="FFFFEB84"/>
        <color rgb="FF00B050"/>
      </colorScale>
    </cfRule>
    <cfRule type="colorScale" priority="5">
      <colorScale>
        <cfvo type="min"/>
        <cfvo type="max"/>
        <color rgb="FF63BE7B"/>
        <color rgb="FFFCFCFF"/>
      </colorScale>
    </cfRule>
  </conditionalFormatting>
  <conditionalFormatting sqref="C27:H32">
    <cfRule type="colorScale" priority="1">
      <colorScale>
        <cfvo type="min"/>
        <cfvo type="percentile" val="50"/>
        <cfvo type="max"/>
        <color theme="0"/>
        <color rgb="FFFFEB84"/>
        <color rgb="FF63BE7B"/>
      </colorScale>
    </cfRule>
  </conditionalFormatting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FA96970D38A8B498C00C736716CAC9E" ma:contentTypeVersion="10" ma:contentTypeDescription="Create a new document." ma:contentTypeScope="" ma:versionID="71fa77e8434b60d197d4e99f3deeb88e">
  <xsd:schema xmlns:xsd="http://www.w3.org/2001/XMLSchema" xmlns:xs="http://www.w3.org/2001/XMLSchema" xmlns:p="http://schemas.microsoft.com/office/2006/metadata/properties" xmlns:ns2="dc96d746-1fe1-44db-aa0a-6c6a7084446f" xmlns:ns3="b56d29e1-4ca8-4217-a036-d434b65cbf8b" targetNamespace="http://schemas.microsoft.com/office/2006/metadata/properties" ma:root="true" ma:fieldsID="98f3b2c2e96882b43d9ff9b39cd521c6" ns2:_="" ns3:_="">
    <xsd:import namespace="dc96d746-1fe1-44db-aa0a-6c6a7084446f"/>
    <xsd:import namespace="b56d29e1-4ca8-4217-a036-d434b65cbf8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96d746-1fe1-44db-aa0a-6c6a7084446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8246a7d0-ff67-4d2e-9059-37c47f94a5b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56d29e1-4ca8-4217-a036-d434b65cbf8b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bbf4fbe9-423d-459a-972d-d13d59c7be69}" ma:internalName="TaxCatchAll" ma:showField="CatchAllData" ma:web="b56d29e1-4ca8-4217-a036-d434b65cbf8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c96d746-1fe1-44db-aa0a-6c6a7084446f">
      <Terms xmlns="http://schemas.microsoft.com/office/infopath/2007/PartnerControls"/>
    </lcf76f155ced4ddcb4097134ff3c332f>
    <TaxCatchAll xmlns="b56d29e1-4ca8-4217-a036-d434b65cbf8b" xsi:nil="true"/>
  </documentManagement>
</p:properties>
</file>

<file path=customXml/itemProps1.xml><?xml version="1.0" encoding="utf-8"?>
<ds:datastoreItem xmlns:ds="http://schemas.openxmlformats.org/officeDocument/2006/customXml" ds:itemID="{D6D3DE68-28DA-41EC-8246-92CAF0F1EA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397AFEE-C570-4DA9-9C48-2707D30424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c96d746-1fe1-44db-aa0a-6c6a7084446f"/>
    <ds:schemaRef ds:uri="b56d29e1-4ca8-4217-a036-d434b65cbf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B2F040D-6E00-4A98-92CC-B9A0082F97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EOC Societal Benefits</vt:lpstr>
      <vt:lpstr>ONS Salary and Employment</vt:lpstr>
      <vt:lpstr>ASA - NAP7</vt:lpstr>
    </vt:vector>
  </TitlesOfParts>
  <Manager/>
  <Company>London North West University Healthcare NHS Trust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Harrowell</dc:creator>
  <cp:keywords/>
  <dc:description/>
  <cp:lastModifiedBy>James Biggin-Lamming</cp:lastModifiedBy>
  <cp:revision/>
  <dcterms:created xsi:type="dcterms:W3CDTF">2023-03-22T10:38:28Z</dcterms:created>
  <dcterms:modified xsi:type="dcterms:W3CDTF">2023-03-27T14:47:58Z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0x0101003FA96970D38A8B498C00C736716CAC9E</vt:lpwstr>
  </property>
</Properties>
</file>