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2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arnallfarrar.sharepoint.com/teams/52082f56-e482-411e-bb5b-af5d296e4095/Shared Documents/FBC/8. External Client Sharing/Appendices/"/>
    </mc:Choice>
  </mc:AlternateContent>
  <xr:revisionPtr revIDLastSave="0" documentId="13_ncr:1_{AF739ED2-F507-45FD-9DD5-A5EEE668F92C}" xr6:coauthVersionLast="47" xr6:coauthVersionMax="47" xr10:uidLastSave="{00000000-0000-0000-0000-000000000000}"/>
  <bookViews>
    <workbookView xWindow="4220" yWindow="500" windowWidth="24560" windowHeight="15780" activeTab="6" xr2:uid="{00000000-000D-0000-FFFF-FFFF00000000}"/>
  </bookViews>
  <sheets>
    <sheet name="Contents" sheetId="10" r:id="rId1"/>
    <sheet name="1. Instructions" sheetId="6" r:id="rId2"/>
    <sheet name="2. Standing data" sheetId="7" r:id="rId3"/>
    <sheet name="3. Summary" sheetId="1" r:id="rId4"/>
    <sheet name="4. Revenue" sheetId="2" r:id="rId5"/>
    <sheet name="5. Capital" sheetId="5" r:id="rId6"/>
    <sheet name="6. Economic (DCF)" sheetId="3" r:id="rId7"/>
    <sheet name="7a. Income and Activity" sheetId="16" r:id="rId8"/>
    <sheet name="7b. Capital Charges" sheetId="18" r:id="rId9"/>
    <sheet name="Sheet1" sheetId="23" state="hidden" r:id="rId10"/>
  </sheets>
  <definedNames>
    <definedName name="_xlnm.Print_Area" localSheetId="4">'4. Revenue'!$A$1:$Y$69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8" i="1" l="1"/>
  <c r="N37" i="1"/>
  <c r="N36" i="1"/>
  <c r="N35" i="1"/>
  <c r="N34" i="1"/>
  <c r="M38" i="1"/>
  <c r="L38" i="1"/>
  <c r="M37" i="1"/>
  <c r="L37" i="1"/>
  <c r="M36" i="1"/>
  <c r="L36" i="1"/>
  <c r="M35" i="1"/>
  <c r="L35" i="1"/>
  <c r="M34" i="1"/>
  <c r="L34" i="1"/>
  <c r="N28" i="1"/>
  <c r="N27" i="1"/>
  <c r="N26" i="1"/>
  <c r="N25" i="1"/>
  <c r="N24" i="1"/>
  <c r="L25" i="1"/>
  <c r="M25" i="1"/>
  <c r="L26" i="1"/>
  <c r="M26" i="1"/>
  <c r="L27" i="1"/>
  <c r="M27" i="1"/>
  <c r="L28" i="1"/>
  <c r="M28" i="1"/>
  <c r="L29" i="1"/>
  <c r="M29" i="1"/>
  <c r="M24" i="1"/>
  <c r="L24" i="1"/>
  <c r="S18" i="1"/>
  <c r="R18" i="1"/>
  <c r="Q18" i="1"/>
  <c r="P18" i="1"/>
  <c r="O18" i="1"/>
  <c r="N18" i="1"/>
  <c r="S17" i="1"/>
  <c r="R17" i="1"/>
  <c r="Q17" i="1"/>
  <c r="P17" i="1"/>
  <c r="O17" i="1"/>
  <c r="N17" i="1"/>
  <c r="S16" i="1"/>
  <c r="R16" i="1"/>
  <c r="Q16" i="1"/>
  <c r="P16" i="1"/>
  <c r="O16" i="1"/>
  <c r="N16" i="1"/>
  <c r="S15" i="1"/>
  <c r="R15" i="1"/>
  <c r="Q15" i="1"/>
  <c r="P15" i="1"/>
  <c r="O15" i="1"/>
  <c r="N15" i="1"/>
  <c r="S14" i="1"/>
  <c r="R14" i="1"/>
  <c r="Q14" i="1"/>
  <c r="P14" i="1"/>
  <c r="O14" i="1"/>
  <c r="N14" i="1"/>
  <c r="O13" i="1"/>
  <c r="P13" i="1" s="1"/>
  <c r="Q13" i="1" s="1"/>
  <c r="R13" i="1" s="1"/>
  <c r="N13" i="1"/>
  <c r="V36" i="2"/>
  <c r="U37" i="2"/>
  <c r="U35" i="2"/>
  <c r="U34" i="2"/>
  <c r="U33" i="2"/>
  <c r="U32" i="2"/>
  <c r="U31" i="2"/>
  <c r="U52" i="2"/>
  <c r="AQ44" i="2"/>
  <c r="AP44" i="2"/>
  <c r="AO44" i="2"/>
  <c r="AN44" i="2"/>
  <c r="AM44" i="2"/>
  <c r="AK44" i="2"/>
  <c r="AJ44" i="2"/>
  <c r="AI44" i="2"/>
  <c r="AH44" i="2"/>
  <c r="AG44" i="2"/>
  <c r="AG61" i="2" s="1"/>
  <c r="AG63" i="2" s="1"/>
  <c r="AG67" i="2" s="1"/>
  <c r="V37" i="2"/>
  <c r="V35" i="2"/>
  <c r="V34" i="2"/>
  <c r="V33" i="2"/>
  <c r="V32" i="2"/>
  <c r="V31" i="2"/>
  <c r="V42" i="2"/>
  <c r="U42" i="2" s="1"/>
  <c r="U43" i="2"/>
  <c r="Y43" i="2"/>
  <c r="X43" i="2"/>
  <c r="W43" i="2"/>
  <c r="V43" i="2"/>
  <c r="Y42" i="2"/>
  <c r="X42" i="2"/>
  <c r="W42" i="2"/>
  <c r="AG59" i="2"/>
  <c r="AG60" i="2"/>
  <c r="AG66" i="2"/>
  <c r="AM39" i="2"/>
  <c r="AM38" i="2"/>
  <c r="AM37" i="2"/>
  <c r="AM36" i="2"/>
  <c r="AM35" i="2"/>
  <c r="AM34" i="2"/>
  <c r="AM33" i="2"/>
  <c r="AM32" i="2"/>
  <c r="AM31" i="2"/>
  <c r="AN38" i="2"/>
  <c r="AN37" i="2"/>
  <c r="AN36" i="2"/>
  <c r="AN35" i="2"/>
  <c r="AN34" i="2"/>
  <c r="AN33" i="2"/>
  <c r="AN32" i="2"/>
  <c r="AN31" i="2"/>
  <c r="AK42" i="2"/>
  <c r="AJ42" i="2"/>
  <c r="AI42" i="2"/>
  <c r="AH42" i="2"/>
  <c r="AG42" i="2"/>
  <c r="AG39" i="2"/>
  <c r="AG38" i="2"/>
  <c r="AG37" i="2"/>
  <c r="AG36" i="2"/>
  <c r="AG35" i="2"/>
  <c r="AG34" i="2"/>
  <c r="AG33" i="2"/>
  <c r="AG32" i="2"/>
  <c r="AG31" i="2"/>
  <c r="AQ43" i="2"/>
  <c r="AP43" i="2"/>
  <c r="AO43" i="2"/>
  <c r="AN43" i="2"/>
  <c r="AM43" i="2"/>
  <c r="AQ42" i="2"/>
  <c r="AP42" i="2"/>
  <c r="AO42" i="2"/>
  <c r="AN42" i="2"/>
  <c r="AM42" i="2"/>
  <c r="AG43" i="2"/>
  <c r="AK43" i="2"/>
  <c r="AJ43" i="2"/>
  <c r="AI43" i="2"/>
  <c r="AH43" i="2"/>
  <c r="AH39" i="2"/>
  <c r="AH38" i="2"/>
  <c r="AH37" i="2"/>
  <c r="AH36" i="2"/>
  <c r="AH35" i="2"/>
  <c r="AH34" i="2"/>
  <c r="AH33" i="2"/>
  <c r="AH32" i="2"/>
  <c r="AH31" i="2"/>
  <c r="S13" i="1" l="1"/>
  <c r="U36" i="2"/>
  <c r="V38" i="2"/>
  <c r="AN39" i="2"/>
  <c r="U38" i="2" l="1"/>
  <c r="V39" i="2"/>
  <c r="V44" i="2" s="1"/>
  <c r="U39" i="2" l="1"/>
  <c r="U44" i="2" s="1"/>
  <c r="AO39" i="2" l="1"/>
  <c r="AP39" i="2" s="1"/>
  <c r="AQ39" i="2" s="1"/>
  <c r="AO38" i="2"/>
  <c r="AP38" i="2" s="1"/>
  <c r="AQ38" i="2" s="1"/>
  <c r="AO37" i="2"/>
  <c r="AP37" i="2" s="1"/>
  <c r="AQ37" i="2" s="1"/>
  <c r="AO36" i="2"/>
  <c r="AP36" i="2" s="1"/>
  <c r="AQ36" i="2" s="1"/>
  <c r="AO35" i="2"/>
  <c r="AP35" i="2" s="1"/>
  <c r="AQ35" i="2" s="1"/>
  <c r="AO34" i="2"/>
  <c r="AP34" i="2" s="1"/>
  <c r="AQ34" i="2" s="1"/>
  <c r="AO33" i="2"/>
  <c r="AP33" i="2" s="1"/>
  <c r="AQ33" i="2" s="1"/>
  <c r="AO32" i="2"/>
  <c r="AP32" i="2" s="1"/>
  <c r="AQ32" i="2" s="1"/>
  <c r="AO31" i="2"/>
  <c r="AI39" i="2"/>
  <c r="AJ39" i="2" s="1"/>
  <c r="AK39" i="2" s="1"/>
  <c r="AI38" i="2"/>
  <c r="AJ38" i="2" s="1"/>
  <c r="AK38" i="2" s="1"/>
  <c r="AI37" i="2"/>
  <c r="AJ37" i="2" s="1"/>
  <c r="AK37" i="2" s="1"/>
  <c r="AJ36" i="2"/>
  <c r="AK36" i="2" s="1"/>
  <c r="AI36" i="2"/>
  <c r="AI35" i="2"/>
  <c r="AJ35" i="2" s="1"/>
  <c r="AK35" i="2" s="1"/>
  <c r="AI34" i="2"/>
  <c r="AJ34" i="2" s="1"/>
  <c r="AK34" i="2" s="1"/>
  <c r="AI33" i="2"/>
  <c r="AJ33" i="2" s="1"/>
  <c r="AK33" i="2" s="1"/>
  <c r="AI32" i="2"/>
  <c r="AJ32" i="2" s="1"/>
  <c r="AK32" i="2" s="1"/>
  <c r="AI31" i="2"/>
  <c r="AJ31" i="2" s="1"/>
  <c r="AK31" i="2" s="1"/>
  <c r="W39" i="2"/>
  <c r="X39" i="2" s="1"/>
  <c r="Y39" i="2" s="1"/>
  <c r="W38" i="2"/>
  <c r="X37" i="2"/>
  <c r="Y37" i="2" s="1"/>
  <c r="W37" i="2"/>
  <c r="W36" i="2"/>
  <c r="W35" i="2"/>
  <c r="X35" i="2" s="1"/>
  <c r="Y35" i="2" s="1"/>
  <c r="W34" i="2"/>
  <c r="X34" i="2" s="1"/>
  <c r="Y34" i="2" s="1"/>
  <c r="W33" i="2"/>
  <c r="X33" i="2" s="1"/>
  <c r="Y33" i="2" s="1"/>
  <c r="W32" i="2"/>
  <c r="X32" i="2" s="1"/>
  <c r="Y32" i="2" s="1"/>
  <c r="W31" i="2"/>
  <c r="X31" i="2" s="1"/>
  <c r="Y31" i="2" s="1"/>
  <c r="AM45" i="2"/>
  <c r="AN45" i="2"/>
  <c r="AG45" i="2"/>
  <c r="Y45" i="2"/>
  <c r="X45" i="2"/>
  <c r="W45" i="2"/>
  <c r="V45" i="2"/>
  <c r="U45" i="2"/>
  <c r="P36" i="2"/>
  <c r="Q36" i="2" s="1"/>
  <c r="R36" i="2" s="1"/>
  <c r="S36" i="2" s="1"/>
  <c r="Q38" i="2"/>
  <c r="R38" i="2" s="1"/>
  <c r="S38" i="2" s="1"/>
  <c r="P38" i="2"/>
  <c r="Q37" i="2"/>
  <c r="R37" i="2" s="1"/>
  <c r="S37" i="2" s="1"/>
  <c r="P37" i="2"/>
  <c r="Q35" i="2"/>
  <c r="R35" i="2" s="1"/>
  <c r="S35" i="2" s="1"/>
  <c r="P35" i="2"/>
  <c r="P34" i="2"/>
  <c r="Q34" i="2" s="1"/>
  <c r="R34" i="2" s="1"/>
  <c r="S34" i="2" s="1"/>
  <c r="P33" i="2"/>
  <c r="Q33" i="2" s="1"/>
  <c r="R33" i="2" s="1"/>
  <c r="S33" i="2" s="1"/>
  <c r="P32" i="2"/>
  <c r="Q32" i="2" s="1"/>
  <c r="R32" i="2" s="1"/>
  <c r="S32" i="2" s="1"/>
  <c r="Q31" i="2"/>
  <c r="R31" i="2" s="1"/>
  <c r="S31" i="2" s="1"/>
  <c r="P31" i="2"/>
  <c r="X36" i="2" l="1"/>
  <c r="W44" i="2"/>
  <c r="X38" i="2"/>
  <c r="AP31" i="2"/>
  <c r="Y36" i="2" l="1"/>
  <c r="X44" i="2"/>
  <c r="Y38" i="2"/>
  <c r="AQ31" i="2"/>
  <c r="Y44" i="2" l="1"/>
  <c r="O39" i="2" l="1"/>
  <c r="P39" i="2" s="1"/>
  <c r="Q39" i="2" s="1"/>
  <c r="R39" i="2" s="1"/>
  <c r="S39" i="2" s="1"/>
  <c r="S44" i="2"/>
  <c r="R44" i="2"/>
  <c r="Q44" i="2"/>
  <c r="P44" i="2"/>
  <c r="O44" i="2"/>
  <c r="S43" i="2"/>
  <c r="R43" i="2"/>
  <c r="Q43" i="2"/>
  <c r="P43" i="2"/>
  <c r="O43" i="2"/>
  <c r="S42" i="2"/>
  <c r="R42" i="2"/>
  <c r="Q42" i="2"/>
  <c r="P42" i="2"/>
  <c r="O42" i="2"/>
  <c r="AQ45" i="2" l="1"/>
  <c r="AP45" i="2"/>
  <c r="AO45" i="2"/>
  <c r="AK45" i="2"/>
  <c r="AJ45" i="2"/>
  <c r="AI45" i="2"/>
  <c r="AH45" i="2"/>
  <c r="AM18" i="2"/>
  <c r="U17" i="2"/>
  <c r="AM16" i="2"/>
  <c r="AG16" i="2"/>
  <c r="AG24" i="2"/>
  <c r="AG21" i="2"/>
  <c r="AG20" i="2"/>
  <c r="AG19" i="2"/>
  <c r="AG17" i="2"/>
  <c r="L49" i="2" l="1"/>
  <c r="K47" i="2"/>
  <c r="K50" i="2"/>
  <c r="K51" i="2"/>
  <c r="K48" i="2"/>
  <c r="K57" i="2"/>
  <c r="K56" i="2"/>
  <c r="K55" i="2"/>
  <c r="K54" i="2"/>
  <c r="K53" i="2"/>
  <c r="O16" i="2"/>
  <c r="O24" i="2"/>
  <c r="M57" i="2"/>
  <c r="M56" i="2"/>
  <c r="M55" i="2"/>
  <c r="M54" i="2"/>
  <c r="M53" i="2"/>
  <c r="M52" i="2"/>
  <c r="M51" i="2"/>
  <c r="M50" i="2"/>
  <c r="M48" i="2"/>
  <c r="M47" i="2"/>
  <c r="M45" i="2"/>
  <c r="M43" i="2"/>
  <c r="M42" i="2"/>
  <c r="M41" i="2"/>
  <c r="M40" i="2"/>
  <c r="M39" i="2"/>
  <c r="M38" i="2"/>
  <c r="M37" i="2"/>
  <c r="M36" i="2"/>
  <c r="M35" i="2"/>
  <c r="M34" i="2"/>
  <c r="M33" i="2"/>
  <c r="M32" i="2"/>
  <c r="M31" i="2"/>
  <c r="L57" i="2"/>
  <c r="L56" i="2"/>
  <c r="L55" i="2"/>
  <c r="L54" i="2"/>
  <c r="L53" i="2"/>
  <c r="L52" i="2"/>
  <c r="L51" i="2"/>
  <c r="L50" i="2"/>
  <c r="L48" i="2"/>
  <c r="L47" i="2"/>
  <c r="L45" i="2"/>
  <c r="L43" i="2"/>
  <c r="L42" i="2"/>
  <c r="L41" i="2"/>
  <c r="L40" i="2"/>
  <c r="L39" i="2"/>
  <c r="L38" i="2"/>
  <c r="L37" i="2"/>
  <c r="L36" i="2"/>
  <c r="L35" i="2"/>
  <c r="L34" i="2"/>
  <c r="L33" i="2"/>
  <c r="L32" i="2"/>
  <c r="L31" i="2"/>
  <c r="J57" i="2"/>
  <c r="I57" i="2"/>
  <c r="J56" i="2"/>
  <c r="I56" i="2"/>
  <c r="J55" i="2"/>
  <c r="I55" i="2"/>
  <c r="J54" i="2"/>
  <c r="I54" i="2"/>
  <c r="J53" i="2"/>
  <c r="I53" i="2"/>
  <c r="J52" i="2"/>
  <c r="I52" i="2"/>
  <c r="J51" i="2"/>
  <c r="I51" i="2"/>
  <c r="J50" i="2"/>
  <c r="I50" i="2"/>
  <c r="I49" i="2"/>
  <c r="J48" i="2"/>
  <c r="I48" i="2"/>
  <c r="J47" i="2"/>
  <c r="I47" i="2"/>
  <c r="I46" i="2"/>
  <c r="J45" i="2"/>
  <c r="I45" i="2"/>
  <c r="J43" i="2"/>
  <c r="I43" i="2"/>
  <c r="J42" i="2"/>
  <c r="I42" i="2"/>
  <c r="J41" i="2"/>
  <c r="I41" i="2"/>
  <c r="J40" i="2"/>
  <c r="I40" i="2"/>
  <c r="J39" i="2"/>
  <c r="I39" i="2"/>
  <c r="J38" i="2"/>
  <c r="I38" i="2"/>
  <c r="J37" i="2"/>
  <c r="I37" i="2"/>
  <c r="J36" i="2"/>
  <c r="I36" i="2"/>
  <c r="J35" i="2"/>
  <c r="I35" i="2"/>
  <c r="J34" i="2"/>
  <c r="I34" i="2"/>
  <c r="J33" i="2"/>
  <c r="I33" i="2"/>
  <c r="J32" i="2"/>
  <c r="I32" i="2"/>
  <c r="J31" i="2"/>
  <c r="I31" i="2"/>
  <c r="U16" i="2"/>
  <c r="K52" i="2"/>
  <c r="K49" i="2"/>
  <c r="K46" i="2"/>
  <c r="K45" i="2"/>
  <c r="K44" i="2"/>
  <c r="K43" i="2"/>
  <c r="K42" i="2"/>
  <c r="K39" i="2"/>
  <c r="K38" i="2"/>
  <c r="K37" i="2"/>
  <c r="K36" i="2"/>
  <c r="K35" i="2"/>
  <c r="K34" i="2"/>
  <c r="K33" i="2"/>
  <c r="K32" i="2"/>
  <c r="K31" i="2"/>
  <c r="AH24" i="2"/>
  <c r="AK24" i="2" s="1"/>
  <c r="AH20" i="2"/>
  <c r="AK20" i="2" s="1"/>
  <c r="P24" i="2"/>
  <c r="S24" i="2" s="1"/>
  <c r="P19" i="2"/>
  <c r="V20" i="2"/>
  <c r="Y20" i="2" s="1"/>
  <c r="AM60" i="2"/>
  <c r="AM59" i="2"/>
  <c r="AA59" i="2"/>
  <c r="AA60" i="2"/>
  <c r="U60" i="2"/>
  <c r="U59" i="2"/>
  <c r="AB17" i="2"/>
  <c r="Q17" i="2" s="1"/>
  <c r="K17" i="2"/>
  <c r="I24" i="2"/>
  <c r="H13" i="16"/>
  <c r="K13" i="16"/>
  <c r="J13" i="16"/>
  <c r="J10" i="16"/>
  <c r="J11" i="16" s="1"/>
  <c r="G10" i="16"/>
  <c r="H10" i="16"/>
  <c r="K6" i="16"/>
  <c r="K5" i="16"/>
  <c r="J6" i="16"/>
  <c r="J5" i="16"/>
  <c r="G6" i="16"/>
  <c r="I17" i="2" s="1"/>
  <c r="P17" i="2" s="1"/>
  <c r="O17" i="2" s="1"/>
  <c r="AM17" i="2" s="1"/>
  <c r="AM19" i="2" s="1"/>
  <c r="G5" i="16"/>
  <c r="H6" i="16"/>
  <c r="H5" i="16"/>
  <c r="I6" i="16"/>
  <c r="I5" i="16"/>
  <c r="G7" i="16"/>
  <c r="I18" i="2" s="1"/>
  <c r="P18" i="2" s="1"/>
  <c r="O18" i="2" s="1"/>
  <c r="G8" i="16"/>
  <c r="I19" i="2" s="1"/>
  <c r="D22" i="18"/>
  <c r="C19" i="18"/>
  <c r="D16" i="18"/>
  <c r="B16" i="18"/>
  <c r="D14" i="18"/>
  <c r="D13" i="18"/>
  <c r="F12" i="18"/>
  <c r="D11" i="18"/>
  <c r="D10" i="18"/>
  <c r="B10" i="18"/>
  <c r="E9" i="18"/>
  <c r="E33" i="18" s="1"/>
  <c r="D8" i="18"/>
  <c r="D26" i="18" s="1"/>
  <c r="C8" i="18"/>
  <c r="F7" i="18"/>
  <c r="D7" i="18"/>
  <c r="D12" i="18" s="1"/>
  <c r="B7" i="18"/>
  <c r="B12" i="18" s="1"/>
  <c r="F6" i="18"/>
  <c r="E6" i="18"/>
  <c r="D6" i="18"/>
  <c r="C6" i="18"/>
  <c r="D5" i="18"/>
  <c r="D25" i="18" s="1"/>
  <c r="C5" i="18"/>
  <c r="C23" i="18" s="1"/>
  <c r="B5" i="18"/>
  <c r="F4" i="18"/>
  <c r="E4" i="18"/>
  <c r="C4" i="18"/>
  <c r="B4" i="18"/>
  <c r="B11" i="18" s="1"/>
  <c r="D28" i="16"/>
  <c r="C28" i="16"/>
  <c r="E28" i="16" s="1"/>
  <c r="D27" i="16"/>
  <c r="C27" i="16"/>
  <c r="E27" i="16" s="1"/>
  <c r="D26" i="16"/>
  <c r="C26" i="16"/>
  <c r="E26" i="16" s="1"/>
  <c r="H20" i="16"/>
  <c r="I20" i="16" s="1"/>
  <c r="H19" i="16"/>
  <c r="AB13" i="16"/>
  <c r="AA13" i="16"/>
  <c r="Z13" i="16"/>
  <c r="Y13" i="16"/>
  <c r="X13" i="16"/>
  <c r="W13" i="16"/>
  <c r="V13" i="16"/>
  <c r="U13" i="16"/>
  <c r="T13" i="16"/>
  <c r="S13" i="16"/>
  <c r="I13" i="16"/>
  <c r="G13" i="16"/>
  <c r="F13" i="16"/>
  <c r="E13" i="16"/>
  <c r="D13" i="16"/>
  <c r="C13" i="16"/>
  <c r="B13" i="16"/>
  <c r="S5" i="16"/>
  <c r="T5" i="16" s="1"/>
  <c r="N3" i="16"/>
  <c r="G57" i="3"/>
  <c r="H57" i="3" s="1"/>
  <c r="I57" i="3" s="1"/>
  <c r="J57" i="3" s="1"/>
  <c r="K57" i="3" s="1"/>
  <c r="L57" i="3" s="1"/>
  <c r="M57" i="3" s="1"/>
  <c r="N57" i="3" s="1"/>
  <c r="O57" i="3" s="1"/>
  <c r="P57" i="3" s="1"/>
  <c r="Q57" i="3" s="1"/>
  <c r="R57" i="3" s="1"/>
  <c r="S57" i="3" s="1"/>
  <c r="T57" i="3" s="1"/>
  <c r="U57" i="3" s="1"/>
  <c r="V57" i="3" s="1"/>
  <c r="W57" i="3" s="1"/>
  <c r="X57" i="3" s="1"/>
  <c r="Y57" i="3" s="1"/>
  <c r="Z57" i="3" s="1"/>
  <c r="AA57" i="3" s="1"/>
  <c r="D57" i="3"/>
  <c r="E57" i="3" s="1"/>
  <c r="F57" i="3" s="1"/>
  <c r="B53" i="3"/>
  <c r="B52" i="3"/>
  <c r="D47" i="3"/>
  <c r="E47" i="3" s="1"/>
  <c r="F47" i="3" s="1"/>
  <c r="G47" i="3" s="1"/>
  <c r="H47" i="3" s="1"/>
  <c r="I47" i="3" s="1"/>
  <c r="J47" i="3" s="1"/>
  <c r="K47" i="3" s="1"/>
  <c r="L47" i="3" s="1"/>
  <c r="M47" i="3" s="1"/>
  <c r="N47" i="3" s="1"/>
  <c r="O47" i="3" s="1"/>
  <c r="P47" i="3" s="1"/>
  <c r="Q47" i="3" s="1"/>
  <c r="R47" i="3" s="1"/>
  <c r="S47" i="3" s="1"/>
  <c r="T47" i="3" s="1"/>
  <c r="U47" i="3" s="1"/>
  <c r="V47" i="3" s="1"/>
  <c r="W47" i="3" s="1"/>
  <c r="X47" i="3" s="1"/>
  <c r="Y47" i="3" s="1"/>
  <c r="Z47" i="3" s="1"/>
  <c r="AA47" i="3" s="1"/>
  <c r="B43" i="3"/>
  <c r="B42" i="3"/>
  <c r="D37" i="3"/>
  <c r="E37" i="3" s="1"/>
  <c r="F37" i="3" s="1"/>
  <c r="G37" i="3" s="1"/>
  <c r="H37" i="3" s="1"/>
  <c r="I37" i="3" s="1"/>
  <c r="J37" i="3" s="1"/>
  <c r="K37" i="3" s="1"/>
  <c r="L37" i="3" s="1"/>
  <c r="M37" i="3" s="1"/>
  <c r="N37" i="3" s="1"/>
  <c r="O37" i="3" s="1"/>
  <c r="P37" i="3" s="1"/>
  <c r="Q37" i="3" s="1"/>
  <c r="R37" i="3" s="1"/>
  <c r="S37" i="3" s="1"/>
  <c r="T37" i="3" s="1"/>
  <c r="U37" i="3" s="1"/>
  <c r="V37" i="3" s="1"/>
  <c r="W37" i="3" s="1"/>
  <c r="X37" i="3" s="1"/>
  <c r="Y37" i="3" s="1"/>
  <c r="Z37" i="3" s="1"/>
  <c r="AA37" i="3" s="1"/>
  <c r="B33" i="3"/>
  <c r="Q27" i="3"/>
  <c r="R27" i="3" s="1"/>
  <c r="S27" i="3" s="1"/>
  <c r="T27" i="3" s="1"/>
  <c r="U27" i="3" s="1"/>
  <c r="V27" i="3" s="1"/>
  <c r="W27" i="3" s="1"/>
  <c r="X27" i="3" s="1"/>
  <c r="Y27" i="3" s="1"/>
  <c r="Z27" i="3" s="1"/>
  <c r="AA27" i="3" s="1"/>
  <c r="E27" i="3"/>
  <c r="F27" i="3" s="1"/>
  <c r="G27" i="3" s="1"/>
  <c r="H27" i="3" s="1"/>
  <c r="I27" i="3" s="1"/>
  <c r="J27" i="3" s="1"/>
  <c r="K27" i="3" s="1"/>
  <c r="L27" i="3" s="1"/>
  <c r="M27" i="3" s="1"/>
  <c r="N27" i="3" s="1"/>
  <c r="O27" i="3" s="1"/>
  <c r="P27" i="3" s="1"/>
  <c r="D27" i="3"/>
  <c r="B23" i="3"/>
  <c r="B22" i="3"/>
  <c r="F17" i="3"/>
  <c r="G17" i="3" s="1"/>
  <c r="H17" i="3" s="1"/>
  <c r="I17" i="3" s="1"/>
  <c r="J17" i="3" s="1"/>
  <c r="K17" i="3" s="1"/>
  <c r="L17" i="3" s="1"/>
  <c r="M17" i="3" s="1"/>
  <c r="N17" i="3" s="1"/>
  <c r="O17" i="3" s="1"/>
  <c r="P17" i="3" s="1"/>
  <c r="Q17" i="3" s="1"/>
  <c r="R17" i="3" s="1"/>
  <c r="S17" i="3" s="1"/>
  <c r="T17" i="3" s="1"/>
  <c r="U17" i="3" s="1"/>
  <c r="V17" i="3" s="1"/>
  <c r="W17" i="3" s="1"/>
  <c r="X17" i="3" s="1"/>
  <c r="Y17" i="3" s="1"/>
  <c r="Z17" i="3" s="1"/>
  <c r="AA17" i="3" s="1"/>
  <c r="E17" i="3"/>
  <c r="D17" i="3"/>
  <c r="B13" i="3"/>
  <c r="B12" i="3"/>
  <c r="C7" i="3"/>
  <c r="AC77" i="5"/>
  <c r="X77" i="5"/>
  <c r="S77" i="5"/>
  <c r="O77" i="5"/>
  <c r="R77" i="5" s="1"/>
  <c r="N77" i="5"/>
  <c r="M77" i="5"/>
  <c r="J77" i="5"/>
  <c r="K77" i="5" s="1"/>
  <c r="I77" i="5"/>
  <c r="H77" i="5"/>
  <c r="AC76" i="5"/>
  <c r="X76" i="5"/>
  <c r="S76" i="5"/>
  <c r="O76" i="5"/>
  <c r="R76" i="5" s="1"/>
  <c r="N76" i="5"/>
  <c r="K76" i="5"/>
  <c r="J76" i="5"/>
  <c r="M76" i="5" s="1"/>
  <c r="I76" i="5"/>
  <c r="H76" i="5"/>
  <c r="AC75" i="5"/>
  <c r="X75" i="5"/>
  <c r="S75" i="5"/>
  <c r="N75" i="5"/>
  <c r="J75" i="5"/>
  <c r="K75" i="5" s="1"/>
  <c r="I75" i="5"/>
  <c r="H75" i="5"/>
  <c r="AC74" i="5"/>
  <c r="X74" i="5"/>
  <c r="S74" i="5"/>
  <c r="N74" i="5"/>
  <c r="J74" i="5"/>
  <c r="M74" i="5" s="1"/>
  <c r="O74" i="5" s="1"/>
  <c r="R74" i="5" s="1"/>
  <c r="I74" i="5"/>
  <c r="H74" i="5"/>
  <c r="K74" i="5" s="1"/>
  <c r="F73" i="5"/>
  <c r="B73" i="5"/>
  <c r="AC72" i="5"/>
  <c r="X72" i="5"/>
  <c r="S72" i="5"/>
  <c r="N72" i="5"/>
  <c r="I72" i="5"/>
  <c r="J72" i="5" s="1"/>
  <c r="H72" i="5"/>
  <c r="S71" i="5"/>
  <c r="F71" i="5"/>
  <c r="B71" i="5"/>
  <c r="B70" i="5"/>
  <c r="B67" i="5"/>
  <c r="AC63" i="5"/>
  <c r="X63" i="5"/>
  <c r="S63" i="5"/>
  <c r="N63" i="5"/>
  <c r="I63" i="5"/>
  <c r="J63" i="5" s="1"/>
  <c r="H63" i="5"/>
  <c r="AC62" i="5"/>
  <c r="X62" i="5"/>
  <c r="S62" i="5"/>
  <c r="N62" i="5"/>
  <c r="J62" i="5"/>
  <c r="M62" i="5" s="1"/>
  <c r="I62" i="5"/>
  <c r="H62" i="5"/>
  <c r="K62" i="5" s="1"/>
  <c r="AC61" i="5"/>
  <c r="X61" i="5"/>
  <c r="S61" i="5"/>
  <c r="N61" i="5"/>
  <c r="I61" i="5"/>
  <c r="J61" i="5" s="1"/>
  <c r="H61" i="5"/>
  <c r="AC60" i="5"/>
  <c r="X60" i="5"/>
  <c r="S60" i="5"/>
  <c r="N60" i="5"/>
  <c r="J60" i="5"/>
  <c r="M60" i="5" s="1"/>
  <c r="I60" i="5"/>
  <c r="H60" i="5"/>
  <c r="K60" i="5" s="1"/>
  <c r="AC59" i="5"/>
  <c r="S59" i="5"/>
  <c r="I59" i="5"/>
  <c r="F59" i="5"/>
  <c r="X59" i="5" s="1"/>
  <c r="B59" i="5"/>
  <c r="AC58" i="5"/>
  <c r="X58" i="5"/>
  <c r="S58" i="5"/>
  <c r="N58" i="5"/>
  <c r="M58" i="5"/>
  <c r="J58" i="5"/>
  <c r="I58" i="5"/>
  <c r="H58" i="5"/>
  <c r="K58" i="5" s="1"/>
  <c r="AC57" i="5"/>
  <c r="X57" i="5"/>
  <c r="S57" i="5"/>
  <c r="N57" i="5"/>
  <c r="I57" i="5"/>
  <c r="J57" i="5" s="1"/>
  <c r="M57" i="5" s="1"/>
  <c r="H57" i="5"/>
  <c r="F57" i="5"/>
  <c r="B57" i="5"/>
  <c r="B56" i="5"/>
  <c r="B53" i="5"/>
  <c r="AC48" i="5"/>
  <c r="X48" i="5"/>
  <c r="S48" i="5"/>
  <c r="N48" i="5"/>
  <c r="J48" i="5"/>
  <c r="M48" i="5" s="1"/>
  <c r="I48" i="5"/>
  <c r="H48" i="5"/>
  <c r="K48" i="5" s="1"/>
  <c r="AC47" i="5"/>
  <c r="X47" i="5"/>
  <c r="S47" i="5"/>
  <c r="N47" i="5"/>
  <c r="I47" i="5"/>
  <c r="J47" i="5" s="1"/>
  <c r="K47" i="5" s="1"/>
  <c r="H47" i="5"/>
  <c r="AC46" i="5"/>
  <c r="X46" i="5"/>
  <c r="S46" i="5"/>
  <c r="N46" i="5"/>
  <c r="J46" i="5"/>
  <c r="M46" i="5" s="1"/>
  <c r="I46" i="5"/>
  <c r="H46" i="5"/>
  <c r="K46" i="5" s="1"/>
  <c r="AC45" i="5"/>
  <c r="X45" i="5"/>
  <c r="S45" i="5"/>
  <c r="N45" i="5"/>
  <c r="M45" i="5"/>
  <c r="I45" i="5"/>
  <c r="J45" i="5" s="1"/>
  <c r="K45" i="5" s="1"/>
  <c r="H45" i="5"/>
  <c r="X44" i="5"/>
  <c r="N44" i="5"/>
  <c r="H44" i="5"/>
  <c r="F44" i="5"/>
  <c r="AC44" i="5" s="1"/>
  <c r="B44" i="5"/>
  <c r="AC43" i="5"/>
  <c r="X43" i="5"/>
  <c r="S43" i="5"/>
  <c r="N43" i="5"/>
  <c r="I43" i="5"/>
  <c r="J43" i="5" s="1"/>
  <c r="M43" i="5" s="1"/>
  <c r="H43" i="5"/>
  <c r="F42" i="5"/>
  <c r="AC42" i="5" s="1"/>
  <c r="B42" i="5"/>
  <c r="X41" i="5"/>
  <c r="N41" i="5"/>
  <c r="H41" i="5"/>
  <c r="F41" i="5"/>
  <c r="AC41" i="5" s="1"/>
  <c r="B41" i="5"/>
  <c r="B38" i="5"/>
  <c r="F35" i="5"/>
  <c r="C25" i="3" s="1"/>
  <c r="AC25" i="3" s="1"/>
  <c r="AC34" i="5"/>
  <c r="X34" i="5"/>
  <c r="S34" i="5"/>
  <c r="N34" i="5"/>
  <c r="M34" i="5"/>
  <c r="I34" i="5"/>
  <c r="J34" i="5" s="1"/>
  <c r="H34" i="5"/>
  <c r="K34" i="5" s="1"/>
  <c r="AC33" i="5"/>
  <c r="X33" i="5"/>
  <c r="S33" i="5"/>
  <c r="N33" i="5"/>
  <c r="J33" i="5"/>
  <c r="M33" i="5" s="1"/>
  <c r="I33" i="5"/>
  <c r="H33" i="5"/>
  <c r="K33" i="5" s="1"/>
  <c r="AC32" i="5"/>
  <c r="X32" i="5"/>
  <c r="S32" i="5"/>
  <c r="N32" i="5"/>
  <c r="I32" i="5"/>
  <c r="J32" i="5" s="1"/>
  <c r="M32" i="5" s="1"/>
  <c r="H32" i="5"/>
  <c r="AC31" i="5"/>
  <c r="X31" i="5"/>
  <c r="S31" i="5"/>
  <c r="N31" i="5"/>
  <c r="M31" i="5"/>
  <c r="J31" i="5"/>
  <c r="I31" i="5"/>
  <c r="H31" i="5"/>
  <c r="K31" i="5" s="1"/>
  <c r="S30" i="5"/>
  <c r="F30" i="5"/>
  <c r="B30" i="5"/>
  <c r="AC29" i="5"/>
  <c r="X29" i="5"/>
  <c r="S29" i="5"/>
  <c r="N29" i="5"/>
  <c r="J29" i="5"/>
  <c r="K29" i="5" s="1"/>
  <c r="I29" i="5"/>
  <c r="H29" i="5"/>
  <c r="AC28" i="5"/>
  <c r="X28" i="5"/>
  <c r="S28" i="5"/>
  <c r="O28" i="5"/>
  <c r="R28" i="5" s="1"/>
  <c r="N28" i="5"/>
  <c r="J28" i="5"/>
  <c r="M28" i="5" s="1"/>
  <c r="I28" i="5"/>
  <c r="H28" i="5"/>
  <c r="K28" i="5" s="1"/>
  <c r="F28" i="5"/>
  <c r="B28" i="5"/>
  <c r="AC27" i="5"/>
  <c r="X27" i="5"/>
  <c r="S27" i="5"/>
  <c r="S35" i="5" s="1"/>
  <c r="N27" i="5"/>
  <c r="I27" i="5"/>
  <c r="J27" i="5" s="1"/>
  <c r="H27" i="5"/>
  <c r="F27" i="5"/>
  <c r="B27" i="5"/>
  <c r="B24" i="5"/>
  <c r="F21" i="5"/>
  <c r="C15" i="3" s="1"/>
  <c r="AC15" i="3" s="1"/>
  <c r="AC20" i="5"/>
  <c r="X20" i="5"/>
  <c r="S20" i="5"/>
  <c r="N20" i="5"/>
  <c r="M20" i="5"/>
  <c r="J20" i="5"/>
  <c r="I20" i="5"/>
  <c r="H20" i="5"/>
  <c r="K20" i="5" s="1"/>
  <c r="AC19" i="5"/>
  <c r="X19" i="5"/>
  <c r="S19" i="5"/>
  <c r="N19" i="5"/>
  <c r="I19" i="5"/>
  <c r="J19" i="5" s="1"/>
  <c r="M19" i="5" s="1"/>
  <c r="H19" i="5"/>
  <c r="K19" i="5" s="1"/>
  <c r="AC18" i="5"/>
  <c r="X18" i="5"/>
  <c r="S18" i="5"/>
  <c r="N18" i="5"/>
  <c r="M18" i="5"/>
  <c r="J18" i="5"/>
  <c r="I18" i="5"/>
  <c r="H18" i="5"/>
  <c r="K18" i="5" s="1"/>
  <c r="AC17" i="5"/>
  <c r="X17" i="5"/>
  <c r="S17" i="5"/>
  <c r="N17" i="5"/>
  <c r="I17" i="5"/>
  <c r="J17" i="5" s="1"/>
  <c r="M17" i="5" s="1"/>
  <c r="H17" i="5"/>
  <c r="AC16" i="5"/>
  <c r="X16" i="5"/>
  <c r="S16" i="5"/>
  <c r="N16" i="5"/>
  <c r="M16" i="5"/>
  <c r="J16" i="5"/>
  <c r="I16" i="5"/>
  <c r="H16" i="5"/>
  <c r="K16" i="5" s="1"/>
  <c r="AC15" i="5"/>
  <c r="X15" i="5"/>
  <c r="S15" i="5"/>
  <c r="N15" i="5"/>
  <c r="I15" i="5"/>
  <c r="J15" i="5" s="1"/>
  <c r="M15" i="5" s="1"/>
  <c r="H15" i="5"/>
  <c r="K15" i="5" s="1"/>
  <c r="AC14" i="5"/>
  <c r="X14" i="5"/>
  <c r="S14" i="5"/>
  <c r="N14" i="5"/>
  <c r="M14" i="5"/>
  <c r="J14" i="5"/>
  <c r="I14" i="5"/>
  <c r="H14" i="5"/>
  <c r="K14" i="5" s="1"/>
  <c r="AC13" i="5"/>
  <c r="X13" i="5"/>
  <c r="S13" i="5"/>
  <c r="N13" i="5"/>
  <c r="I13" i="5"/>
  <c r="H13" i="5"/>
  <c r="B10" i="5"/>
  <c r="B6" i="5"/>
  <c r="H61" i="2"/>
  <c r="G61" i="2"/>
  <c r="F61" i="2"/>
  <c r="E61" i="2"/>
  <c r="D61" i="2"/>
  <c r="B61" i="2"/>
  <c r="W59" i="2"/>
  <c r="AQ58" i="2"/>
  <c r="AP58" i="2"/>
  <c r="AO58" i="2"/>
  <c r="AN58" i="2"/>
  <c r="AM58" i="2"/>
  <c r="AK58" i="2"/>
  <c r="AJ58" i="2"/>
  <c r="AI58" i="2"/>
  <c r="AH58" i="2"/>
  <c r="AG58" i="2"/>
  <c r="AE58" i="2"/>
  <c r="AD58" i="2"/>
  <c r="AC58" i="2"/>
  <c r="AB58" i="2"/>
  <c r="AA58" i="2"/>
  <c r="B26" i="2"/>
  <c r="M24" i="2"/>
  <c r="AN24" i="2" s="1"/>
  <c r="L24" i="2"/>
  <c r="K24" i="2"/>
  <c r="AB24" i="2" s="1"/>
  <c r="J24" i="2"/>
  <c r="V24" i="2" s="1"/>
  <c r="L20" i="2"/>
  <c r="J20" i="2"/>
  <c r="I20" i="2"/>
  <c r="P20" i="2" s="1"/>
  <c r="H20" i="2"/>
  <c r="G20" i="2"/>
  <c r="F20" i="2"/>
  <c r="E20" i="2"/>
  <c r="D20" i="2"/>
  <c r="D18" i="2"/>
  <c r="F17" i="2"/>
  <c r="U46" i="2" s="1"/>
  <c r="E17" i="2"/>
  <c r="V49" i="2" s="1"/>
  <c r="J49" i="2" s="1"/>
  <c r="D17" i="2"/>
  <c r="I21" i="2" s="1"/>
  <c r="P21" i="2" s="1"/>
  <c r="D16" i="2"/>
  <c r="H12" i="2"/>
  <c r="H29" i="2" s="1"/>
  <c r="G12" i="2"/>
  <c r="G29" i="2" s="1"/>
  <c r="F12" i="2"/>
  <c r="F29" i="2" s="1"/>
  <c r="E12" i="2"/>
  <c r="E29" i="2" s="1"/>
  <c r="D12" i="2"/>
  <c r="D29" i="2" s="1"/>
  <c r="AQ9" i="2"/>
  <c r="AP9" i="2"/>
  <c r="AO9" i="2"/>
  <c r="AN9" i="2"/>
  <c r="AM9" i="2"/>
  <c r="AK9" i="2"/>
  <c r="AJ9" i="2"/>
  <c r="AI9" i="2"/>
  <c r="AH9" i="2"/>
  <c r="AG9" i="2"/>
  <c r="AE9" i="2"/>
  <c r="AD9" i="2"/>
  <c r="AC9" i="2"/>
  <c r="AB9" i="2"/>
  <c r="AA9" i="2"/>
  <c r="Y9" i="2"/>
  <c r="X9" i="2"/>
  <c r="W9" i="2"/>
  <c r="V9" i="2"/>
  <c r="U9" i="2"/>
  <c r="S9" i="2"/>
  <c r="R9" i="2"/>
  <c r="Q9" i="2"/>
  <c r="P9" i="2"/>
  <c r="O9" i="2"/>
  <c r="M9" i="2"/>
  <c r="L9" i="2"/>
  <c r="K9" i="2"/>
  <c r="J9" i="2"/>
  <c r="I9" i="2"/>
  <c r="A5" i="2"/>
  <c r="C38" i="1"/>
  <c r="B38" i="1"/>
  <c r="C37" i="1"/>
  <c r="B37" i="1"/>
  <c r="C36" i="1"/>
  <c r="C35" i="1"/>
  <c r="C34" i="1"/>
  <c r="C28" i="1"/>
  <c r="B28" i="1"/>
  <c r="C27" i="1"/>
  <c r="B27" i="1"/>
  <c r="C26" i="1"/>
  <c r="D25" i="1"/>
  <c r="I25" i="1" s="1"/>
  <c r="C25" i="1"/>
  <c r="D24" i="1"/>
  <c r="I24" i="1" s="1"/>
  <c r="C24" i="1"/>
  <c r="B24" i="1"/>
  <c r="B34" i="1" s="1"/>
  <c r="D18" i="1"/>
  <c r="C18" i="1"/>
  <c r="M18" i="1" s="1"/>
  <c r="B18" i="1"/>
  <c r="D17" i="1"/>
  <c r="C17" i="1"/>
  <c r="M17" i="1" s="1"/>
  <c r="B17" i="1"/>
  <c r="L17" i="1" s="1"/>
  <c r="D16" i="1"/>
  <c r="C16" i="1"/>
  <c r="M16" i="1" s="1"/>
  <c r="B16" i="1"/>
  <c r="D15" i="1"/>
  <c r="C15" i="1"/>
  <c r="M15" i="1" s="1"/>
  <c r="B15" i="1"/>
  <c r="D14" i="1"/>
  <c r="C14" i="1"/>
  <c r="M14" i="1" s="1"/>
  <c r="B14" i="1"/>
  <c r="C8" i="1"/>
  <c r="C7" i="1"/>
  <c r="C6" i="1"/>
  <c r="C5" i="1"/>
  <c r="B25" i="1" l="1"/>
  <c r="B35" i="1" s="1"/>
  <c r="L15" i="1"/>
  <c r="L8" i="2"/>
  <c r="AG8" i="2" s="1"/>
  <c r="AH8" i="2" s="1"/>
  <c r="AI8" i="2" s="1"/>
  <c r="AJ8" i="2" s="1"/>
  <c r="AK8" i="2" s="1"/>
  <c r="M8" i="2"/>
  <c r="AM8" i="2" s="1"/>
  <c r="AN8" i="2" s="1"/>
  <c r="AO8" i="2" s="1"/>
  <c r="AP8" i="2" s="1"/>
  <c r="AQ8" i="2" s="1"/>
  <c r="L18" i="1"/>
  <c r="K8" i="2"/>
  <c r="AA8" i="2" s="1"/>
  <c r="AB8" i="2" s="1"/>
  <c r="AC8" i="2" s="1"/>
  <c r="AD8" i="2" s="1"/>
  <c r="AE8" i="2" s="1"/>
  <c r="L16" i="1"/>
  <c r="I8" i="2"/>
  <c r="O8" i="2" s="1"/>
  <c r="P8" i="2" s="1"/>
  <c r="Q8" i="2" s="1"/>
  <c r="R8" i="2" s="1"/>
  <c r="S8" i="2" s="1"/>
  <c r="L14" i="1"/>
  <c r="S20" i="2"/>
  <c r="R20" i="2"/>
  <c r="Q20" i="2"/>
  <c r="O20" i="2"/>
  <c r="Y24" i="2"/>
  <c r="X24" i="2"/>
  <c r="W24" i="2"/>
  <c r="AQ24" i="2"/>
  <c r="AP24" i="2"/>
  <c r="AO24" i="2"/>
  <c r="S21" i="2"/>
  <c r="Q21" i="2"/>
  <c r="R21" i="2"/>
  <c r="O21" i="2"/>
  <c r="W49" i="2"/>
  <c r="V46" i="2"/>
  <c r="X49" i="2"/>
  <c r="W46" i="2"/>
  <c r="J21" i="2"/>
  <c r="V21" i="2" s="1"/>
  <c r="R17" i="2"/>
  <c r="W20" i="2"/>
  <c r="AI20" i="2"/>
  <c r="Y49" i="2"/>
  <c r="X46" i="2"/>
  <c r="O19" i="2"/>
  <c r="S17" i="2"/>
  <c r="Q24" i="2"/>
  <c r="X20" i="2"/>
  <c r="AJ20" i="2"/>
  <c r="AI24" i="2"/>
  <c r="Y46" i="2"/>
  <c r="U24" i="2"/>
  <c r="AM24" i="2"/>
  <c r="R24" i="2"/>
  <c r="AJ24" i="2"/>
  <c r="U49" i="2"/>
  <c r="B63" i="2"/>
  <c r="E13" i="1" s="1"/>
  <c r="F13" i="1" s="1"/>
  <c r="G13" i="1" s="1"/>
  <c r="H13" i="1" s="1"/>
  <c r="I13" i="1" s="1"/>
  <c r="K10" i="16"/>
  <c r="M20" i="2" s="1"/>
  <c r="AN20" i="2" s="1"/>
  <c r="AG74" i="2"/>
  <c r="U74" i="2"/>
  <c r="AA74" i="2"/>
  <c r="D19" i="2"/>
  <c r="C19" i="2" s="1"/>
  <c r="C17" i="2"/>
  <c r="C18" i="2"/>
  <c r="P33" i="5"/>
  <c r="O33" i="5"/>
  <c r="R33" i="5" s="1"/>
  <c r="B26" i="1"/>
  <c r="B36" i="1" s="1"/>
  <c r="O32" i="5"/>
  <c r="R32" i="5" s="1"/>
  <c r="C6" i="3"/>
  <c r="B5" i="5"/>
  <c r="D4" i="2"/>
  <c r="J8" i="2"/>
  <c r="U8" i="2" s="1"/>
  <c r="V8" i="2" s="1"/>
  <c r="W8" i="2" s="1"/>
  <c r="X8" i="2" s="1"/>
  <c r="Y8" i="2" s="1"/>
  <c r="AG73" i="2"/>
  <c r="H21" i="5"/>
  <c r="O73" i="2"/>
  <c r="I21" i="5"/>
  <c r="O59" i="2" s="1"/>
  <c r="J13" i="5"/>
  <c r="P34" i="5"/>
  <c r="O34" i="5"/>
  <c r="R34" i="5" s="1"/>
  <c r="AA73" i="2"/>
  <c r="N21" i="5"/>
  <c r="P59" i="2" s="1"/>
  <c r="P15" i="5"/>
  <c r="O15" i="5"/>
  <c r="R15" i="5" s="1"/>
  <c r="K17" i="5"/>
  <c r="P57" i="5"/>
  <c r="O57" i="5"/>
  <c r="R57" i="5" s="1"/>
  <c r="P14" i="5"/>
  <c r="O14" i="5"/>
  <c r="R14" i="5" s="1"/>
  <c r="P17" i="5"/>
  <c r="O17" i="5"/>
  <c r="R17" i="5" s="1"/>
  <c r="T28" i="5"/>
  <c r="W28" i="5" s="1"/>
  <c r="S21" i="5"/>
  <c r="Q59" i="2" s="1"/>
  <c r="P16" i="5"/>
  <c r="O16" i="5"/>
  <c r="R16" i="5" s="1"/>
  <c r="O19" i="5"/>
  <c r="R19" i="5" s="1"/>
  <c r="AM73" i="2"/>
  <c r="X21" i="5"/>
  <c r="R59" i="2" s="1"/>
  <c r="O18" i="5"/>
  <c r="R18" i="5" s="1"/>
  <c r="K27" i="5"/>
  <c r="K61" i="2"/>
  <c r="U73" i="2"/>
  <c r="O20" i="5"/>
  <c r="R20" i="5" s="1"/>
  <c r="M27" i="5"/>
  <c r="AC21" i="5"/>
  <c r="S59" i="2" s="1"/>
  <c r="K57" i="5"/>
  <c r="T74" i="5"/>
  <c r="W74" i="5" s="1"/>
  <c r="AC49" i="5"/>
  <c r="AE59" i="2" s="1"/>
  <c r="K43" i="5"/>
  <c r="O45" i="5"/>
  <c r="R45" i="5" s="1"/>
  <c r="O46" i="5"/>
  <c r="R46" i="5" s="1"/>
  <c r="O60" i="5"/>
  <c r="R60" i="5" s="1"/>
  <c r="M61" i="5"/>
  <c r="K61" i="5"/>
  <c r="J71" i="5"/>
  <c r="M71" i="5" s="1"/>
  <c r="AC71" i="5"/>
  <c r="N71" i="5"/>
  <c r="X71" i="5"/>
  <c r="I71" i="5"/>
  <c r="H71" i="5"/>
  <c r="P77" i="5"/>
  <c r="P31" i="5"/>
  <c r="O31" i="5"/>
  <c r="R31" i="5" s="1"/>
  <c r="H49" i="5"/>
  <c r="O58" i="5"/>
  <c r="R58" i="5" s="1"/>
  <c r="P62" i="5"/>
  <c r="O62" i="5"/>
  <c r="R62" i="5" s="1"/>
  <c r="M63" i="5"/>
  <c r="K63" i="5"/>
  <c r="T76" i="5"/>
  <c r="W76" i="5" s="1"/>
  <c r="X30" i="5"/>
  <c r="X35" i="5" s="1"/>
  <c r="X59" i="2" s="1"/>
  <c r="N30" i="5"/>
  <c r="N35" i="5" s="1"/>
  <c r="V59" i="2" s="1"/>
  <c r="AC73" i="5"/>
  <c r="S73" i="5"/>
  <c r="I73" i="5"/>
  <c r="H73" i="5"/>
  <c r="N73" i="5"/>
  <c r="J73" i="5"/>
  <c r="M73" i="5" s="1"/>
  <c r="U77" i="5"/>
  <c r="T77" i="5"/>
  <c r="W77" i="5" s="1"/>
  <c r="H30" i="5"/>
  <c r="H35" i="5" s="1"/>
  <c r="K32" i="5"/>
  <c r="O43" i="5"/>
  <c r="R43" i="5" s="1"/>
  <c r="M47" i="5"/>
  <c r="M72" i="5"/>
  <c r="K72" i="5"/>
  <c r="X73" i="5"/>
  <c r="P28" i="5"/>
  <c r="I30" i="5"/>
  <c r="J30" i="5" s="1"/>
  <c r="M29" i="5"/>
  <c r="AC30" i="5"/>
  <c r="AC35" i="5" s="1"/>
  <c r="Y59" i="2" s="1"/>
  <c r="O48" i="5"/>
  <c r="R48" i="5" s="1"/>
  <c r="N42" i="5"/>
  <c r="N49" i="5" s="1"/>
  <c r="AB59" i="2" s="1"/>
  <c r="X42" i="5"/>
  <c r="X49" i="5" s="1"/>
  <c r="AD59" i="2" s="1"/>
  <c r="F49" i="5"/>
  <c r="H59" i="5"/>
  <c r="H42" i="5"/>
  <c r="J59" i="5"/>
  <c r="M59" i="5" s="1"/>
  <c r="I42" i="5"/>
  <c r="J42" i="5" s="1"/>
  <c r="M42" i="5" s="1"/>
  <c r="S42" i="5"/>
  <c r="P76" i="5"/>
  <c r="U5" i="16"/>
  <c r="T7" i="16"/>
  <c r="Y7" i="16" s="1"/>
  <c r="Y9" i="16"/>
  <c r="Y5" i="16"/>
  <c r="P74" i="5"/>
  <c r="I41" i="5"/>
  <c r="S41" i="5"/>
  <c r="I44" i="5"/>
  <c r="J44" i="5" s="1"/>
  <c r="M44" i="5" s="1"/>
  <c r="S44" i="5"/>
  <c r="N59" i="5"/>
  <c r="M75" i="5"/>
  <c r="E22" i="16"/>
  <c r="E21" i="16"/>
  <c r="E24" i="16"/>
  <c r="T6" i="16"/>
  <c r="S6" i="16"/>
  <c r="J17" i="2"/>
  <c r="V17" i="2" s="1"/>
  <c r="C34" i="18"/>
  <c r="C9" i="18"/>
  <c r="C35" i="18" s="1"/>
  <c r="C27" i="18"/>
  <c r="B11" i="16"/>
  <c r="B14" i="16" s="1"/>
  <c r="C12" i="18"/>
  <c r="C7" i="18"/>
  <c r="C15" i="18" s="1"/>
  <c r="E29" i="18"/>
  <c r="F32" i="18"/>
  <c r="U6" i="16"/>
  <c r="F16" i="18"/>
  <c r="V5" i="16"/>
  <c r="B36" i="18"/>
  <c r="X9" i="16"/>
  <c r="E10" i="18"/>
  <c r="F13" i="18"/>
  <c r="D15" i="18"/>
  <c r="B17" i="18"/>
  <c r="C20" i="18"/>
  <c r="D23" i="18"/>
  <c r="B25" i="18"/>
  <c r="F29" i="18"/>
  <c r="B33" i="18"/>
  <c r="E34" i="18"/>
  <c r="E5" i="18"/>
  <c r="F10" i="18"/>
  <c r="B14" i="18"/>
  <c r="E15" i="18"/>
  <c r="C17" i="18"/>
  <c r="D20" i="18"/>
  <c r="C25" i="18"/>
  <c r="B30" i="18"/>
  <c r="E31" i="18"/>
  <c r="F34" i="18"/>
  <c r="X5" i="16"/>
  <c r="F5" i="18"/>
  <c r="E7" i="18"/>
  <c r="E13" i="18" s="1"/>
  <c r="D9" i="18"/>
  <c r="D30" i="18" s="1"/>
  <c r="E12" i="18"/>
  <c r="F15" i="18"/>
  <c r="D17" i="18"/>
  <c r="C22" i="18"/>
  <c r="E28" i="18"/>
  <c r="F31" i="18"/>
  <c r="D33" i="18"/>
  <c r="B35" i="18"/>
  <c r="E36" i="18"/>
  <c r="B8" i="18"/>
  <c r="B27" i="18" s="1"/>
  <c r="F9" i="18"/>
  <c r="F33" i="18" s="1"/>
  <c r="B13" i="18"/>
  <c r="E14" i="18"/>
  <c r="D19" i="18"/>
  <c r="B21" i="18"/>
  <c r="C24" i="18"/>
  <c r="D27" i="18"/>
  <c r="B29" i="18"/>
  <c r="E30" i="18"/>
  <c r="S7" i="16"/>
  <c r="X7" i="16" s="1"/>
  <c r="E11" i="18"/>
  <c r="F14" i="18"/>
  <c r="B18" i="18"/>
  <c r="C21" i="18"/>
  <c r="D24" i="18"/>
  <c r="B26" i="18"/>
  <c r="E27" i="18"/>
  <c r="F30" i="18"/>
  <c r="D32" i="18"/>
  <c r="B34" i="18"/>
  <c r="E35" i="18"/>
  <c r="F11" i="18"/>
  <c r="B15" i="18"/>
  <c r="E16" i="18"/>
  <c r="C18" i="18"/>
  <c r="D21" i="18"/>
  <c r="B23" i="18"/>
  <c r="C26" i="18"/>
  <c r="F27" i="18"/>
  <c r="B31" i="18"/>
  <c r="E32" i="18"/>
  <c r="F35" i="18"/>
  <c r="D18" i="18"/>
  <c r="B20" i="18"/>
  <c r="B28" i="18"/>
  <c r="AQ20" i="2" l="1"/>
  <c r="AP20" i="2"/>
  <c r="AO20" i="2"/>
  <c r="M44" i="2"/>
  <c r="M46" i="2"/>
  <c r="J44" i="2"/>
  <c r="J46" i="2"/>
  <c r="U21" i="2"/>
  <c r="U20" i="2"/>
  <c r="Y17" i="2"/>
  <c r="X17" i="2"/>
  <c r="W17" i="2"/>
  <c r="Y21" i="2"/>
  <c r="W21" i="2"/>
  <c r="X21" i="2"/>
  <c r="L44" i="2"/>
  <c r="L61" i="2" s="1"/>
  <c r="L46" i="2"/>
  <c r="M30" i="5"/>
  <c r="J35" i="5"/>
  <c r="C33" i="18"/>
  <c r="X6" i="16"/>
  <c r="S8" i="16"/>
  <c r="X8" i="16" s="1"/>
  <c r="O42" i="5"/>
  <c r="R42" i="5" s="1"/>
  <c r="P48" i="5"/>
  <c r="O72" i="5"/>
  <c r="R72" i="5" s="1"/>
  <c r="O73" i="5"/>
  <c r="R73" i="5" s="1"/>
  <c r="U58" i="5"/>
  <c r="T58" i="5"/>
  <c r="W58" i="5" s="1"/>
  <c r="K71" i="5"/>
  <c r="T60" i="5"/>
  <c r="W60" i="5" s="1"/>
  <c r="U74" i="5"/>
  <c r="T20" i="5"/>
  <c r="W20" i="5" s="1"/>
  <c r="Z28" i="5"/>
  <c r="Y28" i="5"/>
  <c r="AB28" i="5" s="1"/>
  <c r="M13" i="5"/>
  <c r="J21" i="5"/>
  <c r="K13" i="5"/>
  <c r="K21" i="5" s="1"/>
  <c r="O60" i="2" s="1"/>
  <c r="T32" i="5"/>
  <c r="W32" i="5" s="1"/>
  <c r="Y74" i="5"/>
  <c r="AB74" i="5" s="1"/>
  <c r="D35" i="18"/>
  <c r="C14" i="18"/>
  <c r="D29" i="18"/>
  <c r="F24" i="18"/>
  <c r="F22" i="18"/>
  <c r="F17" i="18"/>
  <c r="F23" i="18"/>
  <c r="F18" i="18"/>
  <c r="F21" i="18"/>
  <c r="F8" i="18"/>
  <c r="F25" i="18" s="1"/>
  <c r="F20" i="18"/>
  <c r="F70" i="5"/>
  <c r="D28" i="18"/>
  <c r="E21" i="18"/>
  <c r="E8" i="18"/>
  <c r="E23" i="18" s="1"/>
  <c r="E24" i="18"/>
  <c r="E19" i="18"/>
  <c r="E22" i="18"/>
  <c r="E20" i="18"/>
  <c r="E26" i="18"/>
  <c r="E18" i="18"/>
  <c r="E17" i="18"/>
  <c r="E25" i="18"/>
  <c r="F56" i="5"/>
  <c r="AA5" i="16"/>
  <c r="W5" i="16"/>
  <c r="AA9" i="16"/>
  <c r="I8" i="16"/>
  <c r="K19" i="2" s="1"/>
  <c r="AB19" i="2" s="1"/>
  <c r="F19" i="2"/>
  <c r="C16" i="18"/>
  <c r="C30" i="18"/>
  <c r="Y6" i="16"/>
  <c r="T8" i="16"/>
  <c r="Y8" i="16" s="1"/>
  <c r="O75" i="5"/>
  <c r="R75" i="5" s="1"/>
  <c r="O59" i="5"/>
  <c r="R59" i="5" s="1"/>
  <c r="O47" i="5"/>
  <c r="R47" i="5" s="1"/>
  <c r="P58" i="5"/>
  <c r="P60" i="5"/>
  <c r="P20" i="5"/>
  <c r="U28" i="5"/>
  <c r="P32" i="5"/>
  <c r="T48" i="5"/>
  <c r="W48" i="5" s="1"/>
  <c r="O61" i="5"/>
  <c r="R61" i="5" s="1"/>
  <c r="G16" i="2"/>
  <c r="L17" i="2"/>
  <c r="AH17" i="2" s="1"/>
  <c r="G17" i="2"/>
  <c r="C13" i="18"/>
  <c r="G11" i="16"/>
  <c r="G14" i="16" s="1"/>
  <c r="I16" i="2"/>
  <c r="P16" i="2" s="1"/>
  <c r="C32" i="18"/>
  <c r="K42" i="5"/>
  <c r="P29" i="5"/>
  <c r="O29" i="5"/>
  <c r="R29" i="5" s="1"/>
  <c r="U43" i="5"/>
  <c r="T43" i="5"/>
  <c r="W43" i="5" s="1"/>
  <c r="K73" i="5"/>
  <c r="Z76" i="5"/>
  <c r="Y76" i="5"/>
  <c r="AB76" i="5" s="1"/>
  <c r="P43" i="5"/>
  <c r="U46" i="5"/>
  <c r="T46" i="5"/>
  <c r="W46" i="5" s="1"/>
  <c r="P45" i="5"/>
  <c r="T18" i="5"/>
  <c r="W18" i="5" s="1"/>
  <c r="F28" i="18"/>
  <c r="F36" i="18"/>
  <c r="S11" i="16"/>
  <c r="S14" i="16" s="1"/>
  <c r="B32" i="18"/>
  <c r="B24" i="18"/>
  <c r="B19" i="18"/>
  <c r="B22" i="18"/>
  <c r="C11" i="18"/>
  <c r="C10" i="18"/>
  <c r="C29" i="18"/>
  <c r="T11" i="16"/>
  <c r="T14" i="16" s="1"/>
  <c r="K59" i="5"/>
  <c r="K44" i="5"/>
  <c r="U76" i="5"/>
  <c r="P46" i="5"/>
  <c r="I35" i="5"/>
  <c r="P18" i="5"/>
  <c r="T17" i="5"/>
  <c r="W17" i="5" s="1"/>
  <c r="T57" i="5"/>
  <c r="W57" i="5" s="1"/>
  <c r="U33" i="5"/>
  <c r="T33" i="5"/>
  <c r="W33" i="5" s="1"/>
  <c r="O44" i="5"/>
  <c r="R44" i="5" s="1"/>
  <c r="C35" i="3"/>
  <c r="AC35" i="3" s="1"/>
  <c r="D26" i="1"/>
  <c r="I26" i="1" s="1"/>
  <c r="K30" i="5"/>
  <c r="K35" i="5" s="1"/>
  <c r="T45" i="5"/>
  <c r="W45" i="5" s="1"/>
  <c r="U19" i="5"/>
  <c r="T19" i="5"/>
  <c r="W19" i="5" s="1"/>
  <c r="E16" i="2"/>
  <c r="D36" i="18"/>
  <c r="D31" i="18"/>
  <c r="X10" i="16"/>
  <c r="D34" i="18"/>
  <c r="C28" i="18"/>
  <c r="C31" i="18"/>
  <c r="S49" i="5"/>
  <c r="AC59" i="2" s="1"/>
  <c r="U7" i="16"/>
  <c r="Z7" i="16" s="1"/>
  <c r="Z9" i="16"/>
  <c r="U11" i="16"/>
  <c r="U14" i="16" s="1"/>
  <c r="Z5" i="16"/>
  <c r="O63" i="5"/>
  <c r="R63" i="5" s="1"/>
  <c r="U31" i="5"/>
  <c r="T31" i="5"/>
  <c r="W31" i="5" s="1"/>
  <c r="O71" i="5"/>
  <c r="R71" i="5" s="1"/>
  <c r="P19" i="5"/>
  <c r="T14" i="5"/>
  <c r="W14" i="5" s="1"/>
  <c r="J13" i="1"/>
  <c r="Z6" i="16"/>
  <c r="V6" i="16"/>
  <c r="U8" i="16"/>
  <c r="Z8" i="16" s="1"/>
  <c r="C36" i="18"/>
  <c r="H8" i="16"/>
  <c r="J19" i="2" s="1"/>
  <c r="V19" i="2" s="1"/>
  <c r="E19" i="2"/>
  <c r="I49" i="5"/>
  <c r="J41" i="5"/>
  <c r="Y77" i="5"/>
  <c r="AB77" i="5" s="1"/>
  <c r="U62" i="5"/>
  <c r="T62" i="5"/>
  <c r="W62" i="5" s="1"/>
  <c r="P27" i="5"/>
  <c r="O27" i="5"/>
  <c r="M35" i="5"/>
  <c r="T16" i="5"/>
  <c r="W16" i="5" s="1"/>
  <c r="U15" i="5"/>
  <c r="T15" i="5"/>
  <c r="W15" i="5" s="1"/>
  <c r="U34" i="5"/>
  <c r="T34" i="5"/>
  <c r="W34" i="5" s="1"/>
  <c r="L21" i="2" l="1"/>
  <c r="AH21" i="2" s="1"/>
  <c r="AG52" i="2"/>
  <c r="AK17" i="2"/>
  <c r="AJ17" i="2"/>
  <c r="AI17" i="2"/>
  <c r="S19" i="2"/>
  <c r="Q19" i="2"/>
  <c r="R19" i="2"/>
  <c r="U19" i="2"/>
  <c r="W19" i="2"/>
  <c r="Y19" i="2"/>
  <c r="X19" i="2"/>
  <c r="O66" i="2"/>
  <c r="X11" i="16"/>
  <c r="X14" i="16" s="1"/>
  <c r="Y57" i="5"/>
  <c r="AB57" i="5" s="1"/>
  <c r="H7" i="16"/>
  <c r="J18" i="2" s="1"/>
  <c r="V18" i="2" s="1"/>
  <c r="E18" i="2"/>
  <c r="T44" i="5"/>
  <c r="W44" i="5" s="1"/>
  <c r="Y17" i="5"/>
  <c r="AB17" i="5" s="1"/>
  <c r="J7" i="16"/>
  <c r="L18" i="2" s="1"/>
  <c r="AH18" i="2" s="1"/>
  <c r="G18" i="2"/>
  <c r="U59" i="5"/>
  <c r="T59" i="5"/>
  <c r="W59" i="5" s="1"/>
  <c r="AB5" i="16"/>
  <c r="AB9" i="16"/>
  <c r="Y32" i="5"/>
  <c r="AB32" i="5" s="1"/>
  <c r="U42" i="5"/>
  <c r="T42" i="5"/>
  <c r="W42" i="5" s="1"/>
  <c r="Y16" i="5"/>
  <c r="AB16" i="5" s="1"/>
  <c r="R27" i="5"/>
  <c r="J49" i="5"/>
  <c r="M41" i="5"/>
  <c r="K41" i="5"/>
  <c r="K49" i="5" s="1"/>
  <c r="W6" i="16"/>
  <c r="W7" i="16" s="1"/>
  <c r="AB7" i="16" s="1"/>
  <c r="AA6" i="16"/>
  <c r="V8" i="16"/>
  <c r="AA8" i="16" s="1"/>
  <c r="T63" i="5"/>
  <c r="W63" i="5" s="1"/>
  <c r="P44" i="5"/>
  <c r="U17" i="5"/>
  <c r="Y46" i="5"/>
  <c r="AB46" i="5" s="1"/>
  <c r="T29" i="5"/>
  <c r="W29" i="5" s="1"/>
  <c r="P59" i="5"/>
  <c r="F19" i="18"/>
  <c r="U32" i="5"/>
  <c r="Z58" i="5"/>
  <c r="Y58" i="5"/>
  <c r="AB58" i="5" s="1"/>
  <c r="P42" i="5"/>
  <c r="U71" i="5"/>
  <c r="T71" i="5"/>
  <c r="W71" i="5" s="1"/>
  <c r="Y34" i="5"/>
  <c r="AB34" i="5" s="1"/>
  <c r="P63" i="5"/>
  <c r="C11" i="16"/>
  <c r="C14" i="16" s="1"/>
  <c r="M17" i="2"/>
  <c r="AN17" i="2" s="1"/>
  <c r="H17" i="2"/>
  <c r="F11" i="16"/>
  <c r="F14" i="16" s="1"/>
  <c r="H16" i="2"/>
  <c r="X56" i="5"/>
  <c r="X64" i="5" s="1"/>
  <c r="AJ59" i="2" s="1"/>
  <c r="N56" i="5"/>
  <c r="N64" i="5" s="1"/>
  <c r="AH59" i="2" s="1"/>
  <c r="F64" i="5"/>
  <c r="J56" i="5"/>
  <c r="AC56" i="5"/>
  <c r="AC64" i="5" s="1"/>
  <c r="AK59" i="2" s="1"/>
  <c r="S56" i="5"/>
  <c r="S64" i="5" s="1"/>
  <c r="AI59" i="2" s="1"/>
  <c r="I56" i="5"/>
  <c r="I64" i="5" s="1"/>
  <c r="H56" i="5"/>
  <c r="J16" i="2"/>
  <c r="V16" i="2" s="1"/>
  <c r="Y45" i="5"/>
  <c r="AB45" i="5" s="1"/>
  <c r="U66" i="2"/>
  <c r="J8" i="16"/>
  <c r="L19" i="2" s="1"/>
  <c r="AH19" i="2" s="1"/>
  <c r="G19" i="2"/>
  <c r="T61" i="5"/>
  <c r="W61" i="5" s="1"/>
  <c r="Y20" i="5"/>
  <c r="AB20" i="5" s="1"/>
  <c r="U73" i="5"/>
  <c r="T73" i="5"/>
  <c r="W73" i="5" s="1"/>
  <c r="AD77" i="5"/>
  <c r="AE77" i="5" s="1"/>
  <c r="P71" i="5"/>
  <c r="Y18" i="5"/>
  <c r="AB18" i="5" s="1"/>
  <c r="Y15" i="5"/>
  <c r="AB15" i="5" s="1"/>
  <c r="Y62" i="5"/>
  <c r="AB62" i="5" s="1"/>
  <c r="D11" i="16"/>
  <c r="D14" i="16" s="1"/>
  <c r="F16" i="2"/>
  <c r="U45" i="5"/>
  <c r="Y33" i="5"/>
  <c r="AB33" i="5" s="1"/>
  <c r="AD76" i="5"/>
  <c r="AE76" i="5" s="1"/>
  <c r="P61" i="5"/>
  <c r="F26" i="18"/>
  <c r="U20" i="5"/>
  <c r="P73" i="5"/>
  <c r="Y48" i="5"/>
  <c r="AB48" i="5" s="1"/>
  <c r="U75" i="5"/>
  <c r="T75" i="5"/>
  <c r="W75" i="5" s="1"/>
  <c r="O13" i="5"/>
  <c r="M21" i="5"/>
  <c r="T72" i="5"/>
  <c r="W72" i="5" s="1"/>
  <c r="U72" i="5"/>
  <c r="C16" i="2"/>
  <c r="L16" i="2"/>
  <c r="AH16" i="2" s="1"/>
  <c r="U48" i="5"/>
  <c r="T47" i="5"/>
  <c r="W47" i="5" s="1"/>
  <c r="P75" i="5"/>
  <c r="AE74" i="5"/>
  <c r="AD74" i="5"/>
  <c r="Y60" i="5"/>
  <c r="AB60" i="5" s="1"/>
  <c r="P72" i="5"/>
  <c r="O30" i="5"/>
  <c r="R30" i="5" s="1"/>
  <c r="Y14" i="5"/>
  <c r="AB14" i="5" s="1"/>
  <c r="U16" i="5"/>
  <c r="Z77" i="5"/>
  <c r="U14" i="5"/>
  <c r="Z31" i="5"/>
  <c r="Y31" i="5"/>
  <c r="AB31" i="5" s="1"/>
  <c r="Y19" i="5"/>
  <c r="AB19" i="5" s="1"/>
  <c r="U57" i="5"/>
  <c r="U18" i="5"/>
  <c r="Y43" i="5"/>
  <c r="AB43" i="5" s="1"/>
  <c r="E11" i="16"/>
  <c r="E14" i="16" s="1"/>
  <c r="P47" i="5"/>
  <c r="V7" i="16"/>
  <c r="AC70" i="5"/>
  <c r="AC78" i="5" s="1"/>
  <c r="AQ59" i="2" s="1"/>
  <c r="S70" i="5"/>
  <c r="S78" i="5" s="1"/>
  <c r="AO59" i="2" s="1"/>
  <c r="I70" i="5"/>
  <c r="I78" i="5" s="1"/>
  <c r="H70" i="5"/>
  <c r="N70" i="5"/>
  <c r="N78" i="5" s="1"/>
  <c r="AN59" i="2" s="1"/>
  <c r="F78" i="5"/>
  <c r="X70" i="5"/>
  <c r="X78" i="5" s="1"/>
  <c r="AP59" i="2" s="1"/>
  <c r="Z74" i="5"/>
  <c r="AD28" i="5"/>
  <c r="AE28" i="5" s="1"/>
  <c r="U60" i="5"/>
  <c r="U55" i="2" l="1"/>
  <c r="I22" i="2"/>
  <c r="AK21" i="2"/>
  <c r="AI21" i="2"/>
  <c r="AJ21" i="2"/>
  <c r="M22" i="2"/>
  <c r="AN22" i="2" s="1"/>
  <c r="L22" i="2"/>
  <c r="AH22" i="2" s="1"/>
  <c r="AG55" i="2"/>
  <c r="J22" i="2"/>
  <c r="V22" i="2" s="1"/>
  <c r="AQ49" i="2"/>
  <c r="AO49" i="2"/>
  <c r="AN49" i="2"/>
  <c r="M49" i="2" s="1"/>
  <c r="M61" i="2" s="1"/>
  <c r="M21" i="2"/>
  <c r="AN21" i="2" s="1"/>
  <c r="AM49" i="2"/>
  <c r="AM74" i="2" s="1"/>
  <c r="AP49" i="2"/>
  <c r="AM55" i="2"/>
  <c r="AM52" i="2"/>
  <c r="U18" i="2"/>
  <c r="AI19" i="2"/>
  <c r="AK19" i="2"/>
  <c r="AJ19" i="2"/>
  <c r="AQ17" i="2"/>
  <c r="AP17" i="2"/>
  <c r="AO17" i="2"/>
  <c r="AM21" i="2"/>
  <c r="AM20" i="2"/>
  <c r="AI16" i="2"/>
  <c r="O21" i="5"/>
  <c r="R13" i="5"/>
  <c r="Z61" i="5"/>
  <c r="Y61" i="5"/>
  <c r="AB61" i="5" s="1"/>
  <c r="AE15" i="5"/>
  <c r="AD15" i="5"/>
  <c r="H11" i="16"/>
  <c r="Y29" i="5"/>
  <c r="AB29" i="5" s="1"/>
  <c r="Z29" i="5"/>
  <c r="AD17" i="5"/>
  <c r="AE17" i="5" s="1"/>
  <c r="M56" i="5"/>
  <c r="J64" i="5"/>
  <c r="J70" i="5"/>
  <c r="Z14" i="5"/>
  <c r="AD48" i="5"/>
  <c r="AE48" i="5" s="1"/>
  <c r="Z15" i="5"/>
  <c r="AE20" i="5"/>
  <c r="AD20" i="5"/>
  <c r="H64" i="5"/>
  <c r="K56" i="5"/>
  <c r="K64" i="5" s="1"/>
  <c r="K8" i="16"/>
  <c r="M19" i="2" s="1"/>
  <c r="AN19" i="2" s="1"/>
  <c r="H19" i="2"/>
  <c r="U29" i="5"/>
  <c r="Z17" i="5"/>
  <c r="AE14" i="5"/>
  <c r="AD14" i="5"/>
  <c r="Z47" i="5"/>
  <c r="Y47" i="5"/>
  <c r="AB47" i="5" s="1"/>
  <c r="AE33" i="5"/>
  <c r="AD33" i="5"/>
  <c r="AD34" i="5"/>
  <c r="AE34" i="5" s="1"/>
  <c r="AD46" i="5"/>
  <c r="AE46" i="5" s="1"/>
  <c r="W8" i="16"/>
  <c r="AB8" i="16" s="1"/>
  <c r="AB6" i="16"/>
  <c r="AD16" i="5"/>
  <c r="AE16" i="5" s="1"/>
  <c r="Z44" i="5"/>
  <c r="Y44" i="5"/>
  <c r="AB44" i="5" s="1"/>
  <c r="AD43" i="5"/>
  <c r="AE43" i="5" s="1"/>
  <c r="M16" i="2"/>
  <c r="AN16" i="2" s="1"/>
  <c r="AA7" i="16"/>
  <c r="V11" i="16"/>
  <c r="V14" i="16" s="1"/>
  <c r="C55" i="3"/>
  <c r="AC55" i="3" s="1"/>
  <c r="D28" i="1"/>
  <c r="I28" i="1" s="1"/>
  <c r="Z19" i="5"/>
  <c r="T30" i="5"/>
  <c r="W30" i="5" s="1"/>
  <c r="Z48" i="5"/>
  <c r="AE18" i="5"/>
  <c r="AD18" i="5"/>
  <c r="Z20" i="5"/>
  <c r="AD31" i="5"/>
  <c r="AE31" i="5" s="1"/>
  <c r="P30" i="5"/>
  <c r="P35" i="5" s="1"/>
  <c r="V60" i="2" s="1"/>
  <c r="U47" i="5"/>
  <c r="Y72" i="5"/>
  <c r="AB72" i="5" s="1"/>
  <c r="Z33" i="5"/>
  <c r="Z18" i="5"/>
  <c r="Z34" i="5"/>
  <c r="Z46" i="5"/>
  <c r="Z16" i="5"/>
  <c r="U44" i="5"/>
  <c r="AE60" i="5"/>
  <c r="AD60" i="5"/>
  <c r="AE45" i="5"/>
  <c r="AD45" i="5"/>
  <c r="Z60" i="5"/>
  <c r="I7" i="16"/>
  <c r="I11" i="16" s="1"/>
  <c r="I14" i="16" s="1"/>
  <c r="F18" i="2"/>
  <c r="AD19" i="5"/>
  <c r="AE19" i="5" s="1"/>
  <c r="H78" i="5"/>
  <c r="K70" i="5"/>
  <c r="K78" i="5" s="1"/>
  <c r="Y10" i="16"/>
  <c r="Z71" i="5"/>
  <c r="Y71" i="5"/>
  <c r="AB71" i="5" s="1"/>
  <c r="M49" i="5"/>
  <c r="P41" i="5"/>
  <c r="P49" i="5" s="1"/>
  <c r="AB60" i="2" s="1"/>
  <c r="O41" i="5"/>
  <c r="Z42" i="5"/>
  <c r="Y42" i="5"/>
  <c r="AB42" i="5" s="1"/>
  <c r="Z59" i="5"/>
  <c r="Y59" i="5"/>
  <c r="AB59" i="5" s="1"/>
  <c r="Z43" i="5"/>
  <c r="P13" i="5"/>
  <c r="P21" i="5" s="1"/>
  <c r="P60" i="2" s="1"/>
  <c r="AE62" i="5"/>
  <c r="AD62" i="5"/>
  <c r="U61" i="5"/>
  <c r="Z45" i="5"/>
  <c r="C45" i="3"/>
  <c r="AC45" i="3" s="1"/>
  <c r="D27" i="1"/>
  <c r="I27" i="1" s="1"/>
  <c r="K7" i="16"/>
  <c r="M18" i="2" s="1"/>
  <c r="AN18" i="2" s="1"/>
  <c r="H18" i="2"/>
  <c r="Z63" i="5"/>
  <c r="Y63" i="5"/>
  <c r="AB63" i="5" s="1"/>
  <c r="R35" i="5"/>
  <c r="T27" i="5"/>
  <c r="U27" i="5"/>
  <c r="AD32" i="5"/>
  <c r="AE32" i="5" s="1"/>
  <c r="AD57" i="5"/>
  <c r="AE57" i="5" s="1"/>
  <c r="Y75" i="5"/>
  <c r="AB75" i="5" s="1"/>
  <c r="Z75" i="5"/>
  <c r="K16" i="2"/>
  <c r="AB16" i="2" s="1"/>
  <c r="X16" i="2" s="1"/>
  <c r="Z62" i="5"/>
  <c r="Z73" i="5"/>
  <c r="Y73" i="5"/>
  <c r="AB73" i="5" s="1"/>
  <c r="J26" i="2"/>
  <c r="AA66" i="2"/>
  <c r="AA75" i="2"/>
  <c r="AA61" i="2"/>
  <c r="AD58" i="5"/>
  <c r="AE58" i="5" s="1"/>
  <c r="U63" i="5"/>
  <c r="O35" i="5"/>
  <c r="Z32" i="5"/>
  <c r="Z57" i="5"/>
  <c r="AP18" i="2" l="1"/>
  <c r="AO18" i="2"/>
  <c r="Y16" i="2"/>
  <c r="U22" i="2"/>
  <c r="U26" i="2" s="1"/>
  <c r="U72" i="2" s="1"/>
  <c r="Y22" i="2"/>
  <c r="X22" i="2"/>
  <c r="W22" i="2"/>
  <c r="W16" i="2"/>
  <c r="AO19" i="2"/>
  <c r="AQ19" i="2"/>
  <c r="AP19" i="2"/>
  <c r="AK16" i="2"/>
  <c r="AG22" i="2"/>
  <c r="AG26" i="2" s="1"/>
  <c r="AG72" i="2" s="1"/>
  <c r="AK22" i="2"/>
  <c r="AJ22" i="2"/>
  <c r="AI22" i="2"/>
  <c r="R16" i="2"/>
  <c r="Q16" i="2"/>
  <c r="S16" i="2"/>
  <c r="AJ16" i="2"/>
  <c r="AM22" i="2"/>
  <c r="AQ22" i="2"/>
  <c r="AP22" i="2"/>
  <c r="AO22" i="2"/>
  <c r="P22" i="2"/>
  <c r="I26" i="2"/>
  <c r="AP16" i="2"/>
  <c r="AO16" i="2"/>
  <c r="AQ16" i="2"/>
  <c r="L26" i="2"/>
  <c r="L63" i="2" s="1"/>
  <c r="AQ21" i="2"/>
  <c r="AO21" i="2"/>
  <c r="AP21" i="2"/>
  <c r="AB10" i="16"/>
  <c r="J14" i="16"/>
  <c r="K11" i="16"/>
  <c r="E17" i="1"/>
  <c r="AG75" i="2"/>
  <c r="AD29" i="5"/>
  <c r="AE29" i="5" s="1"/>
  <c r="AD72" i="5"/>
  <c r="AE72" i="5" s="1"/>
  <c r="P66" i="2"/>
  <c r="AD59" i="5"/>
  <c r="AE59" i="5" s="1"/>
  <c r="AE71" i="5"/>
  <c r="AD71" i="5"/>
  <c r="Y11" i="16"/>
  <c r="Y14" i="16" s="1"/>
  <c r="Z72" i="5"/>
  <c r="AE44" i="5"/>
  <c r="AD44" i="5"/>
  <c r="J78" i="5"/>
  <c r="M70" i="5"/>
  <c r="AE61" i="5"/>
  <c r="AD61" i="5"/>
  <c r="AB66" i="2"/>
  <c r="AB75" i="2"/>
  <c r="U35" i="5"/>
  <c r="W60" i="2" s="1"/>
  <c r="K18" i="2"/>
  <c r="AB18" i="2" s="1"/>
  <c r="Z10" i="16"/>
  <c r="U30" i="5"/>
  <c r="AD75" i="5"/>
  <c r="AE75" i="5" s="1"/>
  <c r="T35" i="5"/>
  <c r="W27" i="5"/>
  <c r="AD42" i="5"/>
  <c r="AE42" i="5" s="1"/>
  <c r="V66" i="2"/>
  <c r="W11" i="16"/>
  <c r="W14" i="16" s="1"/>
  <c r="AD47" i="5"/>
  <c r="AE47" i="5" s="1"/>
  <c r="M64" i="5"/>
  <c r="P56" i="5"/>
  <c r="P64" i="5" s="1"/>
  <c r="AH60" i="2" s="1"/>
  <c r="O56" i="5"/>
  <c r="T13" i="5"/>
  <c r="U13" i="5" s="1"/>
  <c r="U21" i="5" s="1"/>
  <c r="Q60" i="2" s="1"/>
  <c r="R21" i="5"/>
  <c r="AA10" i="16"/>
  <c r="H14" i="16"/>
  <c r="AE73" i="5"/>
  <c r="AD73" i="5"/>
  <c r="AD63" i="5"/>
  <c r="AE63" i="5" s="1"/>
  <c r="O49" i="5"/>
  <c r="R41" i="5"/>
  <c r="M26" i="2"/>
  <c r="M63" i="2" s="1"/>
  <c r="AM26" i="2"/>
  <c r="AM72" i="2" s="1"/>
  <c r="AM66" i="2"/>
  <c r="AM75" i="2"/>
  <c r="AM61" i="2"/>
  <c r="Y30" i="5"/>
  <c r="AB30" i="5" s="1"/>
  <c r="O22" i="2" l="1"/>
  <c r="O26" i="2" s="1"/>
  <c r="S22" i="2"/>
  <c r="R22" i="2"/>
  <c r="Q22" i="2"/>
  <c r="P26" i="2"/>
  <c r="S18" i="2"/>
  <c r="S26" i="2" s="1"/>
  <c r="Q18" i="2"/>
  <c r="R18" i="2"/>
  <c r="R26" i="2" s="1"/>
  <c r="AK18" i="2"/>
  <c r="Y18" i="2"/>
  <c r="W18" i="2"/>
  <c r="AJ18" i="2"/>
  <c r="AI18" i="2"/>
  <c r="X18" i="2"/>
  <c r="Q26" i="2"/>
  <c r="AQ18" i="2"/>
  <c r="AN26" i="2"/>
  <c r="AN72" i="2" s="1"/>
  <c r="AB11" i="16"/>
  <c r="AB14" i="16" s="1"/>
  <c r="AA26" i="2"/>
  <c r="AA72" i="2" s="1"/>
  <c r="AM63" i="2"/>
  <c r="E18" i="1" s="1"/>
  <c r="K14" i="16"/>
  <c r="Q66" i="2"/>
  <c r="W66" i="2"/>
  <c r="AO26" i="2"/>
  <c r="AO72" i="2" s="1"/>
  <c r="O64" i="5"/>
  <c r="R56" i="5"/>
  <c r="AE30" i="5"/>
  <c r="AD30" i="5"/>
  <c r="AH66" i="2"/>
  <c r="AH75" i="2"/>
  <c r="M78" i="5"/>
  <c r="P70" i="5"/>
  <c r="P78" i="5" s="1"/>
  <c r="AN60" i="2" s="1"/>
  <c r="O70" i="5"/>
  <c r="Z30" i="5"/>
  <c r="K26" i="2"/>
  <c r="K63" i="2" s="1"/>
  <c r="C44" i="3"/>
  <c r="W13" i="5"/>
  <c r="T21" i="5"/>
  <c r="AA11" i="16"/>
  <c r="AA14" i="16" s="1"/>
  <c r="AH26" i="2"/>
  <c r="Z11" i="16"/>
  <c r="Z14" i="16" s="1"/>
  <c r="V26" i="2"/>
  <c r="R49" i="5"/>
  <c r="U41" i="5"/>
  <c r="U49" i="5" s="1"/>
  <c r="AC60" i="2" s="1"/>
  <c r="T41" i="5"/>
  <c r="Z27" i="5"/>
  <c r="Z35" i="5" s="1"/>
  <c r="X60" i="2" s="1"/>
  <c r="W35" i="5"/>
  <c r="Y27" i="5"/>
  <c r="R72" i="2" l="1"/>
  <c r="Q72" i="2"/>
  <c r="S72" i="2"/>
  <c r="I44" i="2"/>
  <c r="P72" i="2"/>
  <c r="O72" i="2"/>
  <c r="O74" i="2"/>
  <c r="AM67" i="2"/>
  <c r="C54" i="3" s="1"/>
  <c r="C56" i="3" s="1"/>
  <c r="AA63" i="2"/>
  <c r="E16" i="1" s="1"/>
  <c r="X66" i="2"/>
  <c r="AI26" i="2"/>
  <c r="AI72" i="2" s="1"/>
  <c r="AB26" i="2"/>
  <c r="T49" i="5"/>
  <c r="W41" i="5"/>
  <c r="P73" i="2"/>
  <c r="C46" i="3"/>
  <c r="AC66" i="2"/>
  <c r="AC75" i="2"/>
  <c r="AN66" i="2"/>
  <c r="AN75" i="2"/>
  <c r="P74" i="2"/>
  <c r="R64" i="5"/>
  <c r="T56" i="5"/>
  <c r="U56" i="5" s="1"/>
  <c r="U64" i="5" s="1"/>
  <c r="AI60" i="2" s="1"/>
  <c r="W26" i="2"/>
  <c r="W72" i="2" s="1"/>
  <c r="AH72" i="2"/>
  <c r="AQ26" i="2"/>
  <c r="AQ72" i="2" s="1"/>
  <c r="AP26" i="2"/>
  <c r="AP72" i="2" s="1"/>
  <c r="Y35" i="5"/>
  <c r="AB27" i="5"/>
  <c r="V72" i="2"/>
  <c r="Y13" i="5"/>
  <c r="W21" i="5"/>
  <c r="O78" i="5"/>
  <c r="R70" i="5"/>
  <c r="AA67" i="2" l="1"/>
  <c r="C34" i="3" s="1"/>
  <c r="C36" i="3" s="1"/>
  <c r="AI66" i="2"/>
  <c r="AI75" i="2"/>
  <c r="AC26" i="2"/>
  <c r="AC72" i="2" s="1"/>
  <c r="Y21" i="5"/>
  <c r="AB13" i="5"/>
  <c r="AK26" i="2"/>
  <c r="AK72" i="2" s="1"/>
  <c r="AJ26" i="2"/>
  <c r="AJ72" i="2" s="1"/>
  <c r="R78" i="5"/>
  <c r="T70" i="5"/>
  <c r="U70" i="5"/>
  <c r="U78" i="5" s="1"/>
  <c r="AO60" i="2" s="1"/>
  <c r="Z13" i="5"/>
  <c r="Z21" i="5" s="1"/>
  <c r="R60" i="2" s="1"/>
  <c r="W56" i="5"/>
  <c r="T64" i="5"/>
  <c r="C58" i="3"/>
  <c r="W49" i="5"/>
  <c r="Y41" i="5"/>
  <c r="Q73" i="2"/>
  <c r="Q74" i="2"/>
  <c r="C48" i="3"/>
  <c r="AB35" i="5"/>
  <c r="AD27" i="5"/>
  <c r="AD35" i="5" s="1"/>
  <c r="AE27" i="5"/>
  <c r="AE35" i="5" s="1"/>
  <c r="Y60" i="2" s="1"/>
  <c r="Y26" i="2"/>
  <c r="Y72" i="2" s="1"/>
  <c r="X26" i="2"/>
  <c r="X72" i="2" s="1"/>
  <c r="AB72" i="2"/>
  <c r="T78" i="5" l="1"/>
  <c r="W70" i="5"/>
  <c r="AO75" i="2"/>
  <c r="AO66" i="2"/>
  <c r="AN73" i="2"/>
  <c r="AN61" i="2"/>
  <c r="AN63" i="2" s="1"/>
  <c r="AE26" i="2"/>
  <c r="AE72" i="2" s="1"/>
  <c r="AD26" i="2"/>
  <c r="AD72" i="2" s="1"/>
  <c r="AN74" i="2"/>
  <c r="R73" i="2"/>
  <c r="W64" i="5"/>
  <c r="Y56" i="5"/>
  <c r="Y49" i="5"/>
  <c r="AB41" i="5"/>
  <c r="C38" i="3"/>
  <c r="R74" i="2"/>
  <c r="S74" i="2"/>
  <c r="Z41" i="5"/>
  <c r="Z49" i="5" s="1"/>
  <c r="AD60" i="2" s="1"/>
  <c r="Y66" i="2"/>
  <c r="R66" i="2"/>
  <c r="AE13" i="5"/>
  <c r="AE21" i="5" s="1"/>
  <c r="S60" i="2" s="1"/>
  <c r="AD13" i="5"/>
  <c r="AD21" i="5" s="1"/>
  <c r="AB21" i="5"/>
  <c r="AO73" i="2" l="1"/>
  <c r="AO61" i="2"/>
  <c r="AO63" i="2" s="1"/>
  <c r="G18" i="1" s="1"/>
  <c r="Y64" i="5"/>
  <c r="AB56" i="5"/>
  <c r="F18" i="1"/>
  <c r="AN67" i="2"/>
  <c r="D54" i="3" s="1"/>
  <c r="AB49" i="5"/>
  <c r="AE41" i="5"/>
  <c r="AE49" i="5" s="1"/>
  <c r="AE60" i="2" s="1"/>
  <c r="AD41" i="5"/>
  <c r="AD49" i="5" s="1"/>
  <c r="Z56" i="5"/>
  <c r="Z64" i="5" s="1"/>
  <c r="AJ60" i="2" s="1"/>
  <c r="V74" i="2"/>
  <c r="W78" i="5"/>
  <c r="Y70" i="5"/>
  <c r="AD66" i="2"/>
  <c r="AD75" i="2"/>
  <c r="AH73" i="2"/>
  <c r="AH61" i="2"/>
  <c r="AH63" i="2" s="1"/>
  <c r="V73" i="2"/>
  <c r="S73" i="2"/>
  <c r="AH74" i="2"/>
  <c r="S66" i="2"/>
  <c r="AO74" i="2"/>
  <c r="AO67" i="2" l="1"/>
  <c r="E54" i="3" s="1"/>
  <c r="E56" i="3" s="1"/>
  <c r="E58" i="3" s="1"/>
  <c r="AE75" i="2"/>
  <c r="AE66" i="2"/>
  <c r="F17" i="1"/>
  <c r="AH67" i="2"/>
  <c r="D44" i="3" s="1"/>
  <c r="W74" i="2"/>
  <c r="AB74" i="2"/>
  <c r="AI73" i="2"/>
  <c r="AI61" i="2"/>
  <c r="AI63" i="2" s="1"/>
  <c r="AP73" i="2"/>
  <c r="AB61" i="2"/>
  <c r="AB73" i="2"/>
  <c r="AI74" i="2"/>
  <c r="AP74" i="2"/>
  <c r="AQ74" i="2"/>
  <c r="AB70" i="5"/>
  <c r="Y78" i="5"/>
  <c r="AJ66" i="2"/>
  <c r="AJ75" i="2"/>
  <c r="D56" i="3"/>
  <c r="W73" i="2"/>
  <c r="Z70" i="5"/>
  <c r="Z78" i="5" s="1"/>
  <c r="AP60" i="2" s="1"/>
  <c r="AP61" i="2" s="1"/>
  <c r="AP63" i="2" s="1"/>
  <c r="H18" i="1" s="1"/>
  <c r="AB64" i="5"/>
  <c r="AD56" i="5"/>
  <c r="AD64" i="5" s="1"/>
  <c r="D58" i="3" l="1"/>
  <c r="AC74" i="2"/>
  <c r="X74" i="2"/>
  <c r="Y74" i="2"/>
  <c r="AP75" i="2"/>
  <c r="AP66" i="2"/>
  <c r="AP67" i="2" s="1"/>
  <c r="F54" i="3" s="1"/>
  <c r="AC73" i="2"/>
  <c r="AC61" i="2"/>
  <c r="AC63" i="2" s="1"/>
  <c r="AB63" i="2"/>
  <c r="AJ74" i="2"/>
  <c r="AK74" i="2"/>
  <c r="D46" i="3"/>
  <c r="X73" i="2"/>
  <c r="AE56" i="5"/>
  <c r="AE64" i="5" s="1"/>
  <c r="AK60" i="2" s="1"/>
  <c r="AJ73" i="2"/>
  <c r="AJ61" i="2"/>
  <c r="AJ63" i="2" s="1"/>
  <c r="H17" i="1" s="1"/>
  <c r="AQ73" i="2"/>
  <c r="G17" i="1"/>
  <c r="AI67" i="2"/>
  <c r="E44" i="3" s="1"/>
  <c r="E46" i="3" s="1"/>
  <c r="E48" i="3" s="1"/>
  <c r="AE70" i="5"/>
  <c r="AE78" i="5" s="1"/>
  <c r="AQ60" i="2" s="1"/>
  <c r="AQ61" i="2" s="1"/>
  <c r="AQ63" i="2" s="1"/>
  <c r="I18" i="1" s="1"/>
  <c r="J18" i="1" s="1"/>
  <c r="AD70" i="5"/>
  <c r="AD78" i="5" s="1"/>
  <c r="AB78" i="5"/>
  <c r="F16" i="1" l="1"/>
  <c r="AB67" i="2"/>
  <c r="D34" i="3" s="1"/>
  <c r="AD73" i="2"/>
  <c r="AD61" i="2"/>
  <c r="AD63" i="2" s="1"/>
  <c r="D48" i="3"/>
  <c r="G16" i="1"/>
  <c r="AC67" i="2"/>
  <c r="E34" i="3" s="1"/>
  <c r="E36" i="3" s="1"/>
  <c r="E38" i="3" s="1"/>
  <c r="AD74" i="2"/>
  <c r="AE74" i="2"/>
  <c r="Y73" i="2"/>
  <c r="AK75" i="2"/>
  <c r="AK66" i="2"/>
  <c r="AQ66" i="2"/>
  <c r="AQ67" i="2" s="1"/>
  <c r="G44" i="3" s="1"/>
  <c r="AQ75" i="2"/>
  <c r="AK73" i="2"/>
  <c r="AK61" i="2"/>
  <c r="AK63" i="2" s="1"/>
  <c r="I17" i="1" s="1"/>
  <c r="J17" i="1" s="1"/>
  <c r="G54" i="3"/>
  <c r="F56" i="3"/>
  <c r="AJ67" i="2"/>
  <c r="F44" i="3" s="1"/>
  <c r="F58" i="3" l="1"/>
  <c r="AK67" i="2"/>
  <c r="H54" i="3"/>
  <c r="G56" i="3"/>
  <c r="G58" i="3" s="1"/>
  <c r="F46" i="3"/>
  <c r="AE73" i="2"/>
  <c r="AE61" i="2"/>
  <c r="AE63" i="2" s="1"/>
  <c r="D36" i="3"/>
  <c r="H16" i="1"/>
  <c r="AD67" i="2"/>
  <c r="F34" i="3" s="1"/>
  <c r="D38" i="3" l="1"/>
  <c r="F36" i="3"/>
  <c r="F38" i="3" s="1"/>
  <c r="H56" i="3"/>
  <c r="H58" i="3" s="1"/>
  <c r="I54" i="3"/>
  <c r="H44" i="3"/>
  <c r="G46" i="3"/>
  <c r="G48" i="3" s="1"/>
  <c r="I16" i="1"/>
  <c r="J16" i="1" s="1"/>
  <c r="AE67" i="2"/>
  <c r="G34" i="3" s="1"/>
  <c r="H34" i="3" s="1"/>
  <c r="I34" i="3" s="1"/>
  <c r="J34" i="3" s="1"/>
  <c r="K34" i="3" s="1"/>
  <c r="L34" i="3" s="1"/>
  <c r="M34" i="3" s="1"/>
  <c r="N34" i="3" s="1"/>
  <c r="O34" i="3" s="1"/>
  <c r="P34" i="3" s="1"/>
  <c r="Q34" i="3" s="1"/>
  <c r="R34" i="3" s="1"/>
  <c r="S34" i="3" s="1"/>
  <c r="T34" i="3" s="1"/>
  <c r="U34" i="3" s="1"/>
  <c r="V34" i="3" s="1"/>
  <c r="W34" i="3" s="1"/>
  <c r="X34" i="3" s="1"/>
  <c r="Y34" i="3" s="1"/>
  <c r="Z34" i="3" s="1"/>
  <c r="AA34" i="3" s="1"/>
  <c r="F48" i="3"/>
  <c r="I44" i="3" l="1"/>
  <c r="H46" i="3"/>
  <c r="H48" i="3" s="1"/>
  <c r="J54" i="3"/>
  <c r="I56" i="3"/>
  <c r="I58" i="3" s="1"/>
  <c r="G36" i="3"/>
  <c r="G38" i="3" s="1"/>
  <c r="K54" i="3" l="1"/>
  <c r="J56" i="3"/>
  <c r="J58" i="3" s="1"/>
  <c r="I46" i="3"/>
  <c r="J44" i="3"/>
  <c r="H36" i="3"/>
  <c r="H38" i="3" s="1"/>
  <c r="I48" i="3" l="1"/>
  <c r="J46" i="3"/>
  <c r="J48" i="3" s="1"/>
  <c r="K44" i="3"/>
  <c r="I36" i="3"/>
  <c r="I38" i="3" s="1"/>
  <c r="K56" i="3"/>
  <c r="K58" i="3" s="1"/>
  <c r="L54" i="3"/>
  <c r="L56" i="3" l="1"/>
  <c r="L58" i="3" s="1"/>
  <c r="M54" i="3"/>
  <c r="J36" i="3"/>
  <c r="J38" i="3" s="1"/>
  <c r="K46" i="3"/>
  <c r="K48" i="3" s="1"/>
  <c r="L44" i="3"/>
  <c r="M44" i="3" l="1"/>
  <c r="L46" i="3"/>
  <c r="L48" i="3" s="1"/>
  <c r="K36" i="3"/>
  <c r="K38" i="3" s="1"/>
  <c r="N54" i="3"/>
  <c r="M56" i="3"/>
  <c r="M58" i="3" s="1"/>
  <c r="O54" i="3" l="1"/>
  <c r="N56" i="3"/>
  <c r="N58" i="3" s="1"/>
  <c r="L36" i="3"/>
  <c r="L38" i="3" s="1"/>
  <c r="N44" i="3"/>
  <c r="M46" i="3"/>
  <c r="M48" i="3" s="1"/>
  <c r="P54" i="3" l="1"/>
  <c r="O56" i="3"/>
  <c r="O58" i="3" s="1"/>
  <c r="M36" i="3"/>
  <c r="M38" i="3" s="1"/>
  <c r="N46" i="3"/>
  <c r="N48" i="3" s="1"/>
  <c r="O44" i="3"/>
  <c r="N36" i="3" l="1"/>
  <c r="N38" i="3" s="1"/>
  <c r="P44" i="3"/>
  <c r="O46" i="3"/>
  <c r="O48" i="3" s="1"/>
  <c r="Q54" i="3"/>
  <c r="P56" i="3"/>
  <c r="P58" i="3" s="1"/>
  <c r="Q44" i="3" l="1"/>
  <c r="P46" i="3"/>
  <c r="P48" i="3" s="1"/>
  <c r="O36" i="3"/>
  <c r="O38" i="3" s="1"/>
  <c r="R54" i="3"/>
  <c r="Q56" i="3"/>
  <c r="Q58" i="3" s="1"/>
  <c r="P36" i="3" l="1"/>
  <c r="P38" i="3" s="1"/>
  <c r="Q46" i="3"/>
  <c r="Q48" i="3" s="1"/>
  <c r="R44" i="3"/>
  <c r="S54" i="3"/>
  <c r="R56" i="3"/>
  <c r="R58" i="3" s="1"/>
  <c r="S56" i="3" l="1"/>
  <c r="S58" i="3" s="1"/>
  <c r="T54" i="3"/>
  <c r="S44" i="3"/>
  <c r="R46" i="3"/>
  <c r="R48" i="3" s="1"/>
  <c r="Q36" i="3"/>
  <c r="Q38" i="3" s="1"/>
  <c r="R36" i="3" l="1"/>
  <c r="R38" i="3" s="1"/>
  <c r="S46" i="3"/>
  <c r="S48" i="3" s="1"/>
  <c r="T44" i="3"/>
  <c r="T56" i="3"/>
  <c r="T58" i="3" s="1"/>
  <c r="U54" i="3"/>
  <c r="U44" i="3" l="1"/>
  <c r="T46" i="3"/>
  <c r="T48" i="3" s="1"/>
  <c r="U56" i="3"/>
  <c r="U58" i="3" s="1"/>
  <c r="V54" i="3"/>
  <c r="S36" i="3"/>
  <c r="S38" i="3" s="1"/>
  <c r="W54" i="3" l="1"/>
  <c r="V56" i="3"/>
  <c r="V58" i="3" s="1"/>
  <c r="U46" i="3"/>
  <c r="U48" i="3" s="1"/>
  <c r="V44" i="3"/>
  <c r="T36" i="3"/>
  <c r="T38" i="3" s="1"/>
  <c r="U36" i="3" l="1"/>
  <c r="U38" i="3" s="1"/>
  <c r="V46" i="3"/>
  <c r="V48" i="3" s="1"/>
  <c r="W44" i="3"/>
  <c r="X54" i="3"/>
  <c r="W56" i="3"/>
  <c r="W58" i="3" s="1"/>
  <c r="X44" i="3" l="1"/>
  <c r="W46" i="3"/>
  <c r="W48" i="3" s="1"/>
  <c r="V36" i="3"/>
  <c r="V38" i="3" s="1"/>
  <c r="X56" i="3"/>
  <c r="X58" i="3" s="1"/>
  <c r="Y54" i="3"/>
  <c r="W36" i="3" l="1"/>
  <c r="W38" i="3" s="1"/>
  <c r="Y44" i="3"/>
  <c r="X46" i="3"/>
  <c r="X48" i="3" s="1"/>
  <c r="Z54" i="3"/>
  <c r="Y56" i="3"/>
  <c r="Y58" i="3" s="1"/>
  <c r="Y46" i="3" l="1"/>
  <c r="Y48" i="3" s="1"/>
  <c r="Z44" i="3"/>
  <c r="X36" i="3"/>
  <c r="X38" i="3" s="1"/>
  <c r="AA54" i="3"/>
  <c r="Z56" i="3"/>
  <c r="Z58" i="3" s="1"/>
  <c r="AA56" i="3" l="1"/>
  <c r="AC54" i="3"/>
  <c r="AA44" i="3"/>
  <c r="Z46" i="3"/>
  <c r="Z48" i="3" s="1"/>
  <c r="Y36" i="3"/>
  <c r="Y38" i="3" s="1"/>
  <c r="Z36" i="3" l="1"/>
  <c r="Z38" i="3" s="1"/>
  <c r="AA46" i="3"/>
  <c r="AC44" i="3"/>
  <c r="AA58" i="3"/>
  <c r="AC58" i="3" s="1"/>
  <c r="D38" i="1" s="1"/>
  <c r="J28" i="1" s="1"/>
  <c r="AC56" i="3"/>
  <c r="AA48" i="3" l="1"/>
  <c r="AC48" i="3" s="1"/>
  <c r="D37" i="1" s="1"/>
  <c r="AC46" i="3"/>
  <c r="AA36" i="3"/>
  <c r="AC34" i="3"/>
  <c r="AA38" i="3" l="1"/>
  <c r="AC38" i="3" s="1"/>
  <c r="D36" i="1" s="1"/>
  <c r="AC36" i="3"/>
  <c r="J27" i="1"/>
  <c r="E37" i="1"/>
  <c r="J26" i="1" l="1"/>
  <c r="E36" i="1"/>
  <c r="S58" i="2" l="1"/>
  <c r="S61" i="2" s="1"/>
  <c r="S63" i="2" s="1"/>
  <c r="R58" i="2"/>
  <c r="R61" i="2" s="1"/>
  <c r="R63" i="2" s="1"/>
  <c r="Y58" i="2"/>
  <c r="Y75" i="2" s="1"/>
  <c r="X58" i="2"/>
  <c r="X75" i="2" s="1"/>
  <c r="W58" i="2"/>
  <c r="W61" i="2" s="1"/>
  <c r="W63" i="2" s="1"/>
  <c r="Q58" i="2"/>
  <c r="Q75" i="2" s="1"/>
  <c r="J61" i="2"/>
  <c r="J63" i="2" s="1"/>
  <c r="I61" i="2"/>
  <c r="I63" i="2" s="1"/>
  <c r="U58" i="2"/>
  <c r="U61" i="2" s="1"/>
  <c r="U63" i="2" s="1"/>
  <c r="O58" i="2"/>
  <c r="O61" i="2" s="1"/>
  <c r="O63" i="2" s="1"/>
  <c r="P58" i="2"/>
  <c r="P61" i="2" s="1"/>
  <c r="P63" i="2" s="1"/>
  <c r="P75" i="2"/>
  <c r="V58" i="2"/>
  <c r="V75" i="2" s="1"/>
  <c r="V61" i="2" l="1"/>
  <c r="V63" i="2" s="1"/>
  <c r="V67" i="2" s="1"/>
  <c r="D24" i="3" s="1"/>
  <c r="D26" i="3" s="1"/>
  <c r="D28" i="3" s="1"/>
  <c r="P67" i="2"/>
  <c r="D14" i="3" s="1"/>
  <c r="D16" i="3" s="1"/>
  <c r="D18" i="3" s="1"/>
  <c r="F14" i="1"/>
  <c r="W67" i="2"/>
  <c r="E24" i="3" s="1"/>
  <c r="E26" i="3" s="1"/>
  <c r="E28" i="3" s="1"/>
  <c r="G15" i="1"/>
  <c r="R67" i="2"/>
  <c r="F14" i="3" s="1"/>
  <c r="H14" i="1"/>
  <c r="U67" i="2"/>
  <c r="C24" i="3" s="1"/>
  <c r="E15" i="1"/>
  <c r="E14" i="1"/>
  <c r="O67" i="2"/>
  <c r="C14" i="3" s="1"/>
  <c r="S67" i="2"/>
  <c r="G14" i="3" s="1"/>
  <c r="I14" i="1"/>
  <c r="X61" i="2"/>
  <c r="X63" i="2" s="1"/>
  <c r="U75" i="2"/>
  <c r="W75" i="2"/>
  <c r="R75" i="2"/>
  <c r="Y61" i="2"/>
  <c r="Y63" i="2" s="1"/>
  <c r="S75" i="2"/>
  <c r="Q61" i="2"/>
  <c r="Q63" i="2" s="1"/>
  <c r="O75" i="2"/>
  <c r="F15" i="1" l="1"/>
  <c r="X67" i="2"/>
  <c r="F24" i="3" s="1"/>
  <c r="H15" i="1"/>
  <c r="F16" i="3"/>
  <c r="F18" i="3" s="1"/>
  <c r="C26" i="3"/>
  <c r="C28" i="3" s="1"/>
  <c r="G14" i="1"/>
  <c r="J14" i="1" s="1"/>
  <c r="Q67" i="2"/>
  <c r="E14" i="3" s="1"/>
  <c r="E16" i="3" s="1"/>
  <c r="E18" i="3" s="1"/>
  <c r="Y67" i="2"/>
  <c r="G24" i="3" s="1"/>
  <c r="I15" i="1"/>
  <c r="C16" i="3"/>
  <c r="C18" i="3" s="1"/>
  <c r="J15" i="1" l="1"/>
  <c r="H14" i="3"/>
  <c r="G16" i="3"/>
  <c r="G18" i="3" s="1"/>
  <c r="F26" i="3"/>
  <c r="F28" i="3" s="1"/>
  <c r="G26" i="3" l="1"/>
  <c r="G28" i="3" s="1"/>
  <c r="H24" i="3"/>
  <c r="I14" i="3"/>
  <c r="H16" i="3"/>
  <c r="H18" i="3" s="1"/>
  <c r="J14" i="3" l="1"/>
  <c r="I16" i="3"/>
  <c r="I18" i="3" s="1"/>
  <c r="H26" i="3"/>
  <c r="H28" i="3" s="1"/>
  <c r="I24" i="3"/>
  <c r="J24" i="3" l="1"/>
  <c r="I26" i="3"/>
  <c r="I28" i="3" s="1"/>
  <c r="K14" i="3"/>
  <c r="J16" i="3"/>
  <c r="J18" i="3" s="1"/>
  <c r="K16" i="3" l="1"/>
  <c r="K18" i="3" s="1"/>
  <c r="L14" i="3"/>
  <c r="J26" i="3"/>
  <c r="J28" i="3" s="1"/>
  <c r="K24" i="3"/>
  <c r="K26" i="3" l="1"/>
  <c r="K28" i="3" s="1"/>
  <c r="L24" i="3"/>
  <c r="L16" i="3"/>
  <c r="L18" i="3" s="1"/>
  <c r="M14" i="3"/>
  <c r="N14" i="3" l="1"/>
  <c r="M16" i="3"/>
  <c r="M18" i="3" s="1"/>
  <c r="M24" i="3"/>
  <c r="L26" i="3"/>
  <c r="L28" i="3" s="1"/>
  <c r="N24" i="3" l="1"/>
  <c r="M26" i="3"/>
  <c r="M28" i="3" s="1"/>
  <c r="O14" i="3"/>
  <c r="N16" i="3"/>
  <c r="N18" i="3" s="1"/>
  <c r="O16" i="3" l="1"/>
  <c r="O18" i="3" s="1"/>
  <c r="P14" i="3"/>
  <c r="N26" i="3"/>
  <c r="N28" i="3" s="1"/>
  <c r="O24" i="3"/>
  <c r="P24" i="3" l="1"/>
  <c r="O26" i="3"/>
  <c r="O28" i="3" s="1"/>
  <c r="P16" i="3"/>
  <c r="P18" i="3" s="1"/>
  <c r="Q14" i="3"/>
  <c r="R14" i="3" l="1"/>
  <c r="Q16" i="3"/>
  <c r="Q18" i="3" s="1"/>
  <c r="P26" i="3"/>
  <c r="P28" i="3" s="1"/>
  <c r="Q24" i="3"/>
  <c r="R24" i="3" l="1"/>
  <c r="Q26" i="3"/>
  <c r="Q28" i="3" s="1"/>
  <c r="S14" i="3"/>
  <c r="R16" i="3"/>
  <c r="R18" i="3" s="1"/>
  <c r="S16" i="3" l="1"/>
  <c r="S18" i="3" s="1"/>
  <c r="T14" i="3"/>
  <c r="S24" i="3"/>
  <c r="R26" i="3"/>
  <c r="R28" i="3" s="1"/>
  <c r="T24" i="3" l="1"/>
  <c r="S26" i="3"/>
  <c r="S28" i="3" s="1"/>
  <c r="T16" i="3"/>
  <c r="T18" i="3" s="1"/>
  <c r="U14" i="3"/>
  <c r="V14" i="3" l="1"/>
  <c r="U16" i="3"/>
  <c r="U18" i="3" s="1"/>
  <c r="U24" i="3"/>
  <c r="T26" i="3"/>
  <c r="T28" i="3" s="1"/>
  <c r="V24" i="3" l="1"/>
  <c r="U26" i="3"/>
  <c r="U28" i="3" s="1"/>
  <c r="V16" i="3"/>
  <c r="V18" i="3" s="1"/>
  <c r="W14" i="3"/>
  <c r="W16" i="3" l="1"/>
  <c r="W18" i="3" s="1"/>
  <c r="X14" i="3"/>
  <c r="V26" i="3"/>
  <c r="V28" i="3" s="1"/>
  <c r="W24" i="3"/>
  <c r="W26" i="3" l="1"/>
  <c r="W28" i="3" s="1"/>
  <c r="X24" i="3"/>
  <c r="X16" i="3"/>
  <c r="X18" i="3" s="1"/>
  <c r="Y14" i="3"/>
  <c r="Y16" i="3" l="1"/>
  <c r="Y18" i="3" s="1"/>
  <c r="Z14" i="3"/>
  <c r="X26" i="3"/>
  <c r="X28" i="3" s="1"/>
  <c r="Y24" i="3"/>
  <c r="AA14" i="3" l="1"/>
  <c r="Z16" i="3"/>
  <c r="Z18" i="3" s="1"/>
  <c r="Z24" i="3"/>
  <c r="Y26" i="3"/>
  <c r="Y28" i="3" s="1"/>
  <c r="AA24" i="3" l="1"/>
  <c r="Z26" i="3"/>
  <c r="Z28" i="3" s="1"/>
  <c r="AA16" i="3"/>
  <c r="AA18" i="3" s="1"/>
  <c r="AC18" i="3" s="1"/>
  <c r="D34" i="1" s="1"/>
  <c r="AC14" i="3"/>
  <c r="AC16" i="3" s="1"/>
  <c r="E34" i="1" l="1"/>
  <c r="J24" i="1"/>
  <c r="AA26" i="3"/>
  <c r="AA28" i="3" s="1"/>
  <c r="AC28" i="3" s="1"/>
  <c r="D35" i="1" s="1"/>
  <c r="AC24" i="3"/>
  <c r="AC26" i="3" s="1"/>
  <c r="J25" i="1" l="1"/>
  <c r="E35" i="1"/>
</calcChain>
</file>

<file path=xl/sharedStrings.xml><?xml version="1.0" encoding="utf-8"?>
<sst xmlns="http://schemas.openxmlformats.org/spreadsheetml/2006/main" count="1099" uniqueCount="260">
  <si>
    <t>LONDON NORTH WEST UNIVERSITY HEALTHCARE NHS TRUST</t>
  </si>
  <si>
    <t>Finance Department</t>
  </si>
  <si>
    <t>Option 2</t>
  </si>
  <si>
    <t>Income</t>
  </si>
  <si>
    <t>Activity</t>
  </si>
  <si>
    <t>TOTAL  INCOME</t>
  </si>
  <si>
    <t>Expenditure</t>
  </si>
  <si>
    <t>Drugs</t>
  </si>
  <si>
    <t>Depreciation</t>
  </si>
  <si>
    <t>Cost of Capital (3.5%)</t>
  </si>
  <si>
    <t>Name of Business Case</t>
  </si>
  <si>
    <t>Year  1</t>
  </si>
  <si>
    <t>Year  2</t>
  </si>
  <si>
    <t>Year  3</t>
  </si>
  <si>
    <t>Year  4</t>
  </si>
  <si>
    <t>Year  5</t>
  </si>
  <si>
    <t>OPTION 2</t>
  </si>
  <si>
    <t>OPTION 4</t>
  </si>
  <si>
    <t>OPTION 5</t>
  </si>
  <si>
    <t>Business case financial appendices - SUMMARY</t>
  </si>
  <si>
    <t>Business case financial appendices - FINANCIAL CASE (Revenue)</t>
  </si>
  <si>
    <t>Year 1</t>
  </si>
  <si>
    <t>Year 2</t>
  </si>
  <si>
    <t>Year 3</t>
  </si>
  <si>
    <t>Year 4</t>
  </si>
  <si>
    <t>Year 5</t>
  </si>
  <si>
    <t>£000</t>
  </si>
  <si>
    <t>Option 4</t>
  </si>
  <si>
    <t>Option 5</t>
  </si>
  <si>
    <t xml:space="preserve">PYE adj </t>
  </si>
  <si>
    <t>Business case financial appendices - FINANCIAL CASE (Capital)</t>
  </si>
  <si>
    <t>IT</t>
  </si>
  <si>
    <t>Total capital investment required</t>
  </si>
  <si>
    <t>Business case financial appendices - ECONOMIC CASE</t>
  </si>
  <si>
    <t>Total</t>
  </si>
  <si>
    <t>NPV</t>
  </si>
  <si>
    <t>OPTION 1</t>
  </si>
  <si>
    <t>Revenue cash</t>
  </si>
  <si>
    <t>Capital cash</t>
  </si>
  <si>
    <t>Discounted cash flows of options £000</t>
  </si>
  <si>
    <t>Net revenue (surplus)/deficit</t>
  </si>
  <si>
    <t>Revenue cash flows for Economic Case DCF (excl cap cgs)</t>
  </si>
  <si>
    <t>Current service baseline</t>
  </si>
  <si>
    <t>figs from Revenue tab</t>
  </si>
  <si>
    <t>TAB</t>
  </si>
  <si>
    <t>Std life</t>
  </si>
  <si>
    <t>CAPITAL CHARGES</t>
  </si>
  <si>
    <t>NBV b/fwd</t>
  </si>
  <si>
    <t>Depn</t>
  </si>
  <si>
    <t>ECONOMIC APPRAISAL</t>
  </si>
  <si>
    <t>NBV cfwd</t>
  </si>
  <si>
    <t>Cost of cap</t>
  </si>
  <si>
    <t>INPUT capital</t>
  </si>
  <si>
    <t>investment</t>
  </si>
  <si>
    <t>in this column</t>
  </si>
  <si>
    <t>Option 1</t>
  </si>
  <si>
    <t>Cells shaded this colour  = input cells</t>
  </si>
  <si>
    <t>Cells shaded this colour  = cells feeding into other tabs</t>
  </si>
  <si>
    <t>Business case financial appendices - instructions for completion</t>
  </si>
  <si>
    <t>Current cost (baseline)</t>
  </si>
  <si>
    <t>Input PYE adj as necessary in these cells and change in revenue will be shown automatically in these cols</t>
  </si>
  <si>
    <t>Revenue tab</t>
  </si>
  <si>
    <t>Capital tab</t>
  </si>
  <si>
    <t>NET REVENUE IMPACT</t>
  </si>
  <si>
    <t>figs from Capital tab</t>
  </si>
  <si>
    <t>Name of business case</t>
  </si>
  <si>
    <t>STANDING DATA FOR THE BUSINESS CASE</t>
  </si>
  <si>
    <t>Operational lead</t>
  </si>
  <si>
    <t>Financial lead</t>
  </si>
  <si>
    <t>Discounted cash flow</t>
  </si>
  <si>
    <t>Name of option</t>
  </si>
  <si>
    <t>Name for each option</t>
  </si>
  <si>
    <t>Standing data</t>
  </si>
  <si>
    <t>Asset type</t>
  </si>
  <si>
    <t>Eqpt</t>
  </si>
  <si>
    <t>Wrks</t>
  </si>
  <si>
    <t>(i)</t>
  </si>
  <si>
    <t>(ii)</t>
  </si>
  <si>
    <t>(iii)</t>
  </si>
  <si>
    <t>Amend FYE factor as necessary</t>
  </si>
  <si>
    <t>Enter standing data in yellow shaded cells</t>
  </si>
  <si>
    <t>This information will appear on all tabs.</t>
  </si>
  <si>
    <t>Exclude loss on disposal/depreciation and cost of capital</t>
  </si>
  <si>
    <t>Status</t>
  </si>
  <si>
    <t>cash flows for the Economic (DCF) tab</t>
  </si>
  <si>
    <t>The Revenue tab provides output for the Summary tab and the Economic (DCF) tab</t>
  </si>
  <si>
    <t>The Capital tab provides output for the Summary tab and the Economic (DCF) tab</t>
  </si>
  <si>
    <r>
      <rPr>
        <b/>
        <sz val="12"/>
        <color theme="1"/>
        <rFont val="Calibri"/>
        <family val="2"/>
        <scheme val="minor"/>
      </rPr>
      <t>Summary</t>
    </r>
    <r>
      <rPr>
        <sz val="12"/>
        <color theme="1"/>
        <rFont val="Calibri"/>
        <family val="2"/>
        <scheme val="minor"/>
      </rPr>
      <t xml:space="preserve"> -  is an OUTPUT tab and provides the comparison of the  revenue, capital and DCFs for all options calculated on subsequent tabs.</t>
    </r>
  </si>
  <si>
    <r>
      <rPr>
        <b/>
        <sz val="12"/>
        <color theme="1"/>
        <rFont val="Calibri"/>
        <family val="2"/>
        <scheme val="minor"/>
      </rPr>
      <t>Revenue</t>
    </r>
    <r>
      <rPr>
        <sz val="12"/>
        <color theme="1"/>
        <rFont val="Calibri"/>
        <family val="2"/>
        <scheme val="minor"/>
      </rPr>
      <t xml:space="preserve"> - is an INPUT tab. The baseline revenue income and revenue expenditure for the service is input here.</t>
    </r>
  </si>
  <si>
    <r>
      <rPr>
        <b/>
        <sz val="12"/>
        <color theme="1"/>
        <rFont val="Calibri"/>
        <family val="2"/>
        <scheme val="minor"/>
      </rPr>
      <t>Capital</t>
    </r>
    <r>
      <rPr>
        <sz val="12"/>
        <color theme="1"/>
        <rFont val="Calibri"/>
        <family val="2"/>
        <scheme val="minor"/>
      </rPr>
      <t xml:space="preserve"> - is an INPUT tab. The capital investment requirement for each option is input here to calculate capital charges and provide capital</t>
    </r>
  </si>
  <si>
    <r>
      <t xml:space="preserve">The </t>
    </r>
    <r>
      <rPr>
        <b/>
        <sz val="12"/>
        <color theme="1"/>
        <rFont val="Calibri"/>
        <family val="2"/>
        <scheme val="minor"/>
      </rPr>
      <t>Economic (DCF)</t>
    </r>
    <r>
      <rPr>
        <sz val="12"/>
        <color theme="1"/>
        <rFont val="Calibri"/>
        <family val="2"/>
        <scheme val="minor"/>
      </rPr>
      <t xml:space="preserve"> tab provides output for the Summary tab.</t>
    </r>
  </si>
  <si>
    <t>Content</t>
  </si>
  <si>
    <t>(iv)</t>
  </si>
  <si>
    <t>(v)</t>
  </si>
  <si>
    <t>(vi)</t>
  </si>
  <si>
    <t>All figures here feed in from Revenue and Capital tabs - no input required here</t>
  </si>
  <si>
    <t>Cash outflows shown as negative values, inflows as positive values</t>
  </si>
  <si>
    <r>
      <rPr>
        <b/>
        <sz val="12"/>
        <color theme="1"/>
        <rFont val="Calibri"/>
        <family val="2"/>
        <scheme val="minor"/>
      </rPr>
      <t>Instructions</t>
    </r>
    <r>
      <rPr>
        <sz val="12"/>
        <color theme="1"/>
        <rFont val="Calibri"/>
        <family val="2"/>
        <scheme val="minor"/>
      </rPr>
      <t xml:space="preserve"> for completion</t>
    </r>
  </si>
  <si>
    <r>
      <rPr>
        <b/>
        <sz val="12"/>
        <color theme="1"/>
        <rFont val="Calibri"/>
        <family val="2"/>
        <scheme val="minor"/>
      </rPr>
      <t>Standing data</t>
    </r>
    <r>
      <rPr>
        <sz val="12"/>
        <color theme="1"/>
        <rFont val="Calibri"/>
        <family val="2"/>
        <scheme val="minor"/>
      </rPr>
      <t xml:space="preserve"> - input here name and descriptioon of options and these will feed through to subsequent tabs</t>
    </r>
  </si>
  <si>
    <t>Source</t>
  </si>
  <si>
    <t>CAPITAL REQUIREMENT</t>
  </si>
  <si>
    <t>Total WTE/Expenditure</t>
  </si>
  <si>
    <t>Version date</t>
  </si>
  <si>
    <t>Enter business case title, leads, option names and version date</t>
  </si>
  <si>
    <t xml:space="preserve">All figures on the Summary tab are fed by </t>
  </si>
  <si>
    <t>In-patient income</t>
  </si>
  <si>
    <t>Non-patient related income</t>
  </si>
  <si>
    <t>PAY</t>
  </si>
  <si>
    <t>NON-PAY</t>
  </si>
  <si>
    <t>Interest payable</t>
  </si>
  <si>
    <t>POST EBITDA</t>
  </si>
  <si>
    <t>POST -EBITDA</t>
  </si>
  <si>
    <t>INCOME</t>
  </si>
  <si>
    <t>Sub-totals - memorandum info</t>
  </si>
  <si>
    <t>Enter current (baseline) income, WTE and costs of service subject to business case</t>
  </si>
  <si>
    <t>Enter changes to baseline income, WTE and costs for each option</t>
  </si>
  <si>
    <t>Enter capital investment requirement inclusive of VAT</t>
  </si>
  <si>
    <t>Complete notes and assumptions</t>
  </si>
  <si>
    <r>
      <rPr>
        <b/>
        <sz val="12"/>
        <color theme="1"/>
        <rFont val="Calibri"/>
        <family val="2"/>
        <scheme val="minor"/>
      </rPr>
      <t>Assumptions and Os work</t>
    </r>
    <r>
      <rPr>
        <sz val="12"/>
        <color theme="1"/>
        <rFont val="Calibri"/>
        <family val="2"/>
        <scheme val="minor"/>
      </rPr>
      <t xml:space="preserve"> tab - lists the key assumptions underpinning the financial evaluation and any outstanding work.</t>
    </r>
  </si>
  <si>
    <t>Business case financial appendices for over £250k investment (capital or revenue)</t>
  </si>
  <si>
    <t>Ave. Price</t>
  </si>
  <si>
    <t>Clinical Supplies &amp; Services</t>
  </si>
  <si>
    <t>Consultant</t>
  </si>
  <si>
    <t>Year 6</t>
  </si>
  <si>
    <t>Year 7</t>
  </si>
  <si>
    <t>Year 8</t>
  </si>
  <si>
    <t>Year 9</t>
  </si>
  <si>
    <t>Year 10</t>
  </si>
  <si>
    <t>Year 11</t>
  </si>
  <si>
    <t>Year 12</t>
  </si>
  <si>
    <t>Year 13</t>
  </si>
  <si>
    <t>Year 14</t>
  </si>
  <si>
    <t>Year 15</t>
  </si>
  <si>
    <t>Year 16</t>
  </si>
  <si>
    <t>Year 17</t>
  </si>
  <si>
    <t>Year 18</t>
  </si>
  <si>
    <t>Year 19</t>
  </si>
  <si>
    <t>Year 20</t>
  </si>
  <si>
    <t>Year 21</t>
  </si>
  <si>
    <t>Year 22</t>
  </si>
  <si>
    <t>Year 23</t>
  </si>
  <si>
    <t>Year 24</t>
  </si>
  <si>
    <t>Year 25</t>
  </si>
  <si>
    <t>£</t>
  </si>
  <si>
    <t>Draft</t>
  </si>
  <si>
    <t>North West London Elective Orthopaedic Centre (at CMH)</t>
  </si>
  <si>
    <t>Wendy Harrowell</t>
  </si>
  <si>
    <t>Option One - Base Case</t>
  </si>
  <si>
    <t>LNWH DC &amp; IP + NWL Hips &amp; Knees</t>
  </si>
  <si>
    <t>Option Four</t>
  </si>
  <si>
    <t xml:space="preserve">LNWH DC &amp; IP + NWL IP </t>
  </si>
  <si>
    <t xml:space="preserve">LNWH DC &amp; IP + NWL DC &amp; IP </t>
  </si>
  <si>
    <t xml:space="preserve">Option Six </t>
  </si>
  <si>
    <t xml:space="preserve">LNWH DC &amp; IP + NWL IP &amp; DC + NHS IP &amp; DC Cases Treated Privately </t>
  </si>
  <si>
    <t>Option Seven</t>
  </si>
  <si>
    <t>Option Five - Preferred Option</t>
  </si>
  <si>
    <t>Income £</t>
  </si>
  <si>
    <t>Option 6</t>
  </si>
  <si>
    <t>Option 7</t>
  </si>
  <si>
    <t>Do Nothing+  -  Current Model plus Joint Weeks (POC)</t>
  </si>
  <si>
    <t xml:space="preserve">Income </t>
  </si>
  <si>
    <t>NHS - Day Cases</t>
  </si>
  <si>
    <t>LNWH MFF</t>
  </si>
  <si>
    <t>NHS - Elective Inpatients</t>
  </si>
  <si>
    <t>Inclusive of Joints - LNWH MFF</t>
  </si>
  <si>
    <t>NHS - Outpatients (POA)</t>
  </si>
  <si>
    <t>No MFF Flexed as local tariff</t>
  </si>
  <si>
    <t>NHS - Critical Care Bed Days</t>
  </si>
  <si>
    <t>No MFF Flexed as local tariff (one organ supported)</t>
  </si>
  <si>
    <t>NHS - COVID Funding</t>
  </si>
  <si>
    <t>Assuming that pathology costs for swabbing are still recoverable</t>
  </si>
  <si>
    <t>NHS - Pass Through (Drugs)</t>
  </si>
  <si>
    <t>Total Trading Income</t>
  </si>
  <si>
    <t>Other Income - Education, Training &amp; Research (HEE)</t>
  </si>
  <si>
    <t>Total Other Income</t>
  </si>
  <si>
    <t>NB:</t>
  </si>
  <si>
    <t>Only bespoke prostheses are pass through and therefore have not be included in scope as low complexity of cases in scope</t>
  </si>
  <si>
    <t>MFF</t>
  </si>
  <si>
    <t>Provider name</t>
  </si>
  <si>
    <t>2021/22 
(Year 3)</t>
  </si>
  <si>
    <t>Year 4
2022/23</t>
  </si>
  <si>
    <t>Year 5
2023/24</t>
  </si>
  <si>
    <t>Chelsea And Westminster Hospital NHS Foundation Trust</t>
  </si>
  <si>
    <t>Imperial College Healthcare NHS Trust</t>
  </si>
  <si>
    <t>London North West University Healthcare NHS Trust</t>
  </si>
  <si>
    <t>The Hillingdon Hospitals NHS Foundation Trust</t>
  </si>
  <si>
    <t>Number of Development Theatres</t>
  </si>
  <si>
    <t>Equipment (Medium Term Assets) (7 Years useful Life)</t>
  </si>
  <si>
    <t>Development costs weighted based on option 5 costs as an apportionment of development theatres required</t>
  </si>
  <si>
    <t>Refurbishment (Aligned to PAC Development) (25 Years useful life)</t>
  </si>
  <si>
    <t>Development Costs (25 Years useful life)</t>
  </si>
  <si>
    <t>Includes estimates for Legal and Acumentice fees - Design fees included in refurbishment charges</t>
  </si>
  <si>
    <t>Equipment Depreciation (Annual)</t>
  </si>
  <si>
    <t>Refurbishment Depreciation (Annual)</t>
  </si>
  <si>
    <t>Development Costs Depreciation (Annual)</t>
  </si>
  <si>
    <t>Cost of Capital - Equipment Year One</t>
  </si>
  <si>
    <t>Cost of Capital - Equipment Year Two</t>
  </si>
  <si>
    <t>Cost of Capital - Equipment Year Three</t>
  </si>
  <si>
    <t>Cost of Capital - Equipment Year Four</t>
  </si>
  <si>
    <t>Cost of Capital - Equipment Year Five</t>
  </si>
  <si>
    <t>Cost of Capital - Equipment Year Six</t>
  </si>
  <si>
    <t>Cost of Capital - Equipment Year Severn</t>
  </si>
  <si>
    <t>Cost of Capital - Refurbishment Year One</t>
  </si>
  <si>
    <t>Cost of Capital - Refurbishment Year Two</t>
  </si>
  <si>
    <t>Cost of Capital - Refurbishment Year Three</t>
  </si>
  <si>
    <t>Cost of Capital - Refurbishment Year Four</t>
  </si>
  <si>
    <t>Cost of Capital - Refurbishment Year Five</t>
  </si>
  <si>
    <t>Cost of Capital - Refurbishment Year Six</t>
  </si>
  <si>
    <t>Cost of Capital - Refurbishment Year Severn</t>
  </si>
  <si>
    <t>Cost of Capital - Refurbishment Year Eight</t>
  </si>
  <si>
    <t>Cost of Capital - Refurbishment Year Nine</t>
  </si>
  <si>
    <t>Cost of Capital - Refurbishment Year Ten</t>
  </si>
  <si>
    <t>Cost of Capital - Development Costs Year One</t>
  </si>
  <si>
    <t>Cost of Capital - Development Costs Year Two</t>
  </si>
  <si>
    <t>Cost of Capital - Development Costs Year Three</t>
  </si>
  <si>
    <t>Cost of Capital - Development Costs Year Four</t>
  </si>
  <si>
    <t>Cost of Capital - Development Costs Year Five</t>
  </si>
  <si>
    <t>Cost of Capital - Development Costs Year Six</t>
  </si>
  <si>
    <t>Cost of Capital - Development Costs Year Severn</t>
  </si>
  <si>
    <t>Cost of Capital - Development Costs Year Eight</t>
  </si>
  <si>
    <t>Cost of Capital - Development Costs Year Nine</t>
  </si>
  <si>
    <t>Cost of Capital - Development Costs Year Ten</t>
  </si>
  <si>
    <t>Non-patient related income - HEE Funding</t>
  </si>
  <si>
    <t>Admin &amp; Clerical</t>
  </si>
  <si>
    <t>Allied Health Professionals</t>
  </si>
  <si>
    <t>Management</t>
  </si>
  <si>
    <t>Medical Other</t>
  </si>
  <si>
    <t>Nursing</t>
  </si>
  <si>
    <t>Pharmacists</t>
  </si>
  <si>
    <t>Overheads</t>
  </si>
  <si>
    <t>Premises Costs</t>
  </si>
  <si>
    <t>PLICS Efficiency</t>
  </si>
  <si>
    <t>No. of Additional Theatre</t>
  </si>
  <si>
    <t>Agency Premium</t>
  </si>
  <si>
    <t>Disc Fact 10%</t>
  </si>
  <si>
    <t>Cost of capital = 10%</t>
  </si>
  <si>
    <t>the other tabs - NO INPUT HERE</t>
  </si>
  <si>
    <t>NPV (25 yrs.)</t>
  </si>
  <si>
    <t>Optimism Bias @ 23%</t>
  </si>
  <si>
    <t>Marginal Rate (One Year Relief)</t>
  </si>
  <si>
    <t>FYE July 24</t>
  </si>
  <si>
    <t>SRO</t>
  </si>
  <si>
    <t>Mobalisation Year (November 2023)</t>
  </si>
  <si>
    <t>Weighted on EL Activity</t>
  </si>
  <si>
    <t>No longer relevant as a funding stream</t>
  </si>
  <si>
    <t>Year Two (Full Year)</t>
  </si>
  <si>
    <t>Opening Annual Activity (Nov 23)</t>
  </si>
  <si>
    <t>Bank Premium</t>
  </si>
  <si>
    <t>One Year Marginal Relief (6 Months Home Trust Overheads)</t>
  </si>
  <si>
    <t>Mobalisation Costs</t>
  </si>
  <si>
    <t>Cost of Training</t>
  </si>
  <si>
    <t>Transport - New Criteria (Most Likely)</t>
  </si>
  <si>
    <t>Mark Titcomb</t>
  </si>
  <si>
    <t>NHS - Pass Through (Prostesis)</t>
  </si>
  <si>
    <t>NHS - Pass Through (NEPT)</t>
  </si>
  <si>
    <t>Sector Efficiencies (IP Model)</t>
  </si>
  <si>
    <t>Option</t>
  </si>
  <si>
    <t xml:space="preserve"> Do Nothing (LNWH)</t>
  </si>
  <si>
    <t>£m</t>
  </si>
  <si>
    <t xml:space="preserve">Year 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</si>
</sst>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3" formatCode="_(* #,##0.00_);_(* \(#,##0.00\);_(* &quot;-&quot;??_);_(@_)"/>
    <numFmt numFmtId="164" formatCode="_-&quot;£&quot;* #,##0.00_-;\-&quot;£&quot;* #,##0.00_-;_-&quot;£&quot;* &quot;-&quot;??_-;_-@_-"/>
    <numFmt numFmtId="165" formatCode="_-* #,##0.00_-;\-* #,##0.00_-;_-* &quot;-&quot;??_-;_-@_-"/>
    <numFmt numFmtId="166" formatCode="#,##0;\(#,##0\)"/>
    <numFmt numFmtId="167" formatCode="_-* #,##0_-;\-* #,##0_-;_-* &quot;-&quot;??_-;_-@_-"/>
    <numFmt numFmtId="168" formatCode="#,##0.000"/>
    <numFmt numFmtId="169" formatCode="&quot;£&quot;#,##0"/>
    <numFmt numFmtId="170" formatCode="#,##0.0"/>
    <numFmt numFmtId="171" formatCode="#,##0_ ;\-#,##0\ "/>
    <numFmt numFmtId="172" formatCode="0.000000"/>
    <numFmt numFmtId="173" formatCode="#,##0.0_);\(#,##0.0\)"/>
    <numFmt numFmtId="174" formatCode="0.00%;\(0.00%\)"/>
  </numFmts>
  <fonts count="36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u/>
      <sz val="1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u/>
      <sz val="11"/>
      <color rgb="FF0070C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0"/>
      <name val="Arial "/>
    </font>
    <font>
      <sz val="12"/>
      <color theme="1"/>
      <name val="Arial"/>
      <family val="2"/>
    </font>
    <font>
      <sz val="10"/>
      <color rgb="FFFF000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9"/>
      <color theme="1"/>
      <name val="Arial"/>
      <family val="2"/>
    </font>
    <font>
      <sz val="10"/>
      <name val="Palatino Linotype"/>
      <family val="1"/>
    </font>
    <font>
      <b/>
      <sz val="8"/>
      <name val="Arial"/>
      <family val="2"/>
    </font>
    <font>
      <sz val="18"/>
      <name val="Times New Roman"/>
      <family val="1"/>
    </font>
    <font>
      <b/>
      <sz val="13"/>
      <name val="Times New Roman"/>
      <family val="1"/>
    </font>
    <font>
      <b/>
      <i/>
      <sz val="12"/>
      <name val="Times New Roman"/>
      <family val="1"/>
    </font>
    <font>
      <i/>
      <sz val="12"/>
      <name val="Times New Roman"/>
      <family val="1"/>
    </font>
    <font>
      <sz val="11"/>
      <name val="Times New Roman"/>
      <family val="1"/>
    </font>
    <font>
      <u/>
      <sz val="12"/>
      <color theme="10"/>
      <name val="Arial"/>
      <family val="2"/>
    </font>
    <font>
      <b/>
      <sz val="10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0070C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DashDot">
        <color indexed="64"/>
      </left>
      <right style="mediumDashDot">
        <color indexed="64"/>
      </right>
      <top style="mediumDashDot">
        <color indexed="64"/>
      </top>
      <bottom style="thin">
        <color indexed="64"/>
      </bottom>
      <diagonal/>
    </border>
    <border>
      <left style="mediumDashDot">
        <color indexed="64"/>
      </left>
      <right style="mediumDashDot">
        <color indexed="64"/>
      </right>
      <top/>
      <bottom/>
      <diagonal/>
    </border>
    <border>
      <left style="mediumDashDot">
        <color indexed="64"/>
      </left>
      <right style="mediumDashDot">
        <color indexed="64"/>
      </right>
      <top style="thin">
        <color indexed="64"/>
      </top>
      <bottom style="mediumDashDot">
        <color indexed="64"/>
      </bottom>
      <diagonal/>
    </border>
    <border>
      <left style="mediumDashDot">
        <color indexed="64"/>
      </left>
      <right style="mediumDashDot">
        <color indexed="64"/>
      </right>
      <top style="mediumDashDot">
        <color indexed="64"/>
      </top>
      <bottom/>
      <diagonal/>
    </border>
    <border>
      <left style="mediumDashDot">
        <color indexed="64"/>
      </left>
      <right style="mediumDashDot">
        <color indexed="64"/>
      </right>
      <top/>
      <bottom style="mediumDashDot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43">
    <xf numFmtId="0" fontId="0" fillId="0" borderId="0"/>
    <xf numFmtId="165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21" fillId="0" borderId="0"/>
    <xf numFmtId="0" fontId="21" fillId="0" borderId="0"/>
    <xf numFmtId="9" fontId="21" fillId="0" borderId="0" applyFont="0" applyFill="0" applyBorder="0" applyAlignment="0" applyProtection="0"/>
    <xf numFmtId="164" fontId="9" fillId="0" borderId="0" applyFont="0" applyFill="0" applyBorder="0" applyAlignment="0" applyProtection="0"/>
    <xf numFmtId="173" fontId="19" fillId="0" borderId="0" applyNumberFormat="0" applyFont="0" applyAlignment="0" applyProtection="0"/>
    <xf numFmtId="165" fontId="25" fillId="0" borderId="0" applyFont="0" applyFill="0" applyBorder="0" applyAlignment="0" applyProtection="0"/>
    <xf numFmtId="169" fontId="24" fillId="11" borderId="7" applyFont="0" applyBorder="0"/>
    <xf numFmtId="174" fontId="26" fillId="12" borderId="1" applyNumberFormat="0" applyFont="0" applyAlignment="0"/>
    <xf numFmtId="38" fontId="27" fillId="0" borderId="0"/>
    <xf numFmtId="38" fontId="28" fillId="0" borderId="0"/>
    <xf numFmtId="38" fontId="29" fillId="0" borderId="0"/>
    <xf numFmtId="38" fontId="30" fillId="0" borderId="0"/>
    <xf numFmtId="0" fontId="31" fillId="0" borderId="0"/>
    <xf numFmtId="0" fontId="31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169" fontId="24" fillId="11" borderId="7" applyFill="0" applyBorder="0"/>
    <xf numFmtId="173" fontId="19" fillId="0" borderId="25" applyNumberFormat="0" applyFont="0" applyFill="0" applyAlignment="0"/>
    <xf numFmtId="0" fontId="32" fillId="0" borderId="0" applyNumberFormat="0" applyFill="0" applyBorder="0" applyAlignment="0" applyProtection="0"/>
    <xf numFmtId="165" fontId="9" fillId="0" borderId="0" applyFont="0" applyFill="0" applyBorder="0" applyAlignment="0" applyProtection="0"/>
  </cellStyleXfs>
  <cellXfs count="278">
    <xf numFmtId="0" fontId="0" fillId="0" borderId="0" xfId="0"/>
    <xf numFmtId="0" fontId="2" fillId="0" borderId="0" xfId="0" applyFont="1"/>
    <xf numFmtId="2" fontId="4" fillId="0" borderId="2" xfId="0" applyNumberFormat="1" applyFont="1" applyBorder="1" applyAlignment="1">
      <alignment horizontal="right"/>
    </xf>
    <xf numFmtId="3" fontId="4" fillId="0" borderId="1" xfId="0" applyNumberFormat="1" applyFont="1" applyBorder="1" applyAlignment="1">
      <alignment horizontal="center"/>
    </xf>
    <xf numFmtId="3" fontId="4" fillId="2" borderId="2" xfId="0" applyNumberFormat="1" applyFont="1" applyFill="1" applyBorder="1"/>
    <xf numFmtId="3" fontId="4" fillId="0" borderId="2" xfId="0" applyNumberFormat="1" applyFont="1" applyBorder="1"/>
    <xf numFmtId="166" fontId="4" fillId="2" borderId="2" xfId="0" applyNumberFormat="1" applyFont="1" applyFill="1" applyBorder="1"/>
    <xf numFmtId="3" fontId="4" fillId="0" borderId="4" xfId="0" applyNumberFormat="1" applyFont="1" applyBorder="1" applyAlignment="1">
      <alignment horizontal="center"/>
    </xf>
    <xf numFmtId="0" fontId="4" fillId="0" borderId="0" xfId="0" applyFont="1" applyAlignment="1">
      <alignment wrapText="1"/>
    </xf>
    <xf numFmtId="2" fontId="4" fillId="0" borderId="0" xfId="0" applyNumberFormat="1" applyFont="1" applyAlignment="1">
      <alignment horizontal="right" wrapText="1"/>
    </xf>
    <xf numFmtId="2" fontId="4" fillId="0" borderId="0" xfId="0" applyNumberFormat="1" applyFont="1" applyAlignment="1">
      <alignment horizontal="left" vertical="top" wrapText="1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horizontal="center" vertical="top" wrapText="1"/>
    </xf>
    <xf numFmtId="0" fontId="4" fillId="0" borderId="0" xfId="0" applyFont="1"/>
    <xf numFmtId="2" fontId="4" fillId="0" borderId="0" xfId="0" applyNumberFormat="1" applyFont="1" applyAlignment="1">
      <alignment horizontal="right"/>
    </xf>
    <xf numFmtId="0" fontId="4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6" fillId="0" borderId="0" xfId="0" applyFont="1"/>
    <xf numFmtId="3" fontId="4" fillId="0" borderId="5" xfId="0" applyNumberFormat="1" applyFont="1" applyBorder="1" applyAlignment="1">
      <alignment horizontal="center"/>
    </xf>
    <xf numFmtId="3" fontId="4" fillId="0" borderId="5" xfId="0" applyNumberFormat="1" applyFont="1" applyBorder="1"/>
    <xf numFmtId="166" fontId="4" fillId="0" borderId="0" xfId="0" applyNumberFormat="1" applyFont="1"/>
    <xf numFmtId="3" fontId="4" fillId="0" borderId="0" xfId="0" applyNumberFormat="1" applyFont="1"/>
    <xf numFmtId="2" fontId="4" fillId="0" borderId="4" xfId="0" applyNumberFormat="1" applyFont="1" applyBorder="1" applyAlignment="1">
      <alignment horizontal="center"/>
    </xf>
    <xf numFmtId="0" fontId="4" fillId="0" borderId="0" xfId="0" applyFont="1" applyAlignment="1">
      <alignment horizontal="right"/>
    </xf>
    <xf numFmtId="0" fontId="4" fillId="0" borderId="2" xfId="0" applyFont="1" applyBorder="1"/>
    <xf numFmtId="3" fontId="4" fillId="3" borderId="2" xfId="0" applyNumberFormat="1" applyFont="1" applyFill="1" applyBorder="1"/>
    <xf numFmtId="0" fontId="2" fillId="0" borderId="0" xfId="0" applyFont="1" applyAlignment="1">
      <alignment horizontal="center"/>
    </xf>
    <xf numFmtId="0" fontId="7" fillId="0" borderId="0" xfId="0" applyFont="1"/>
    <xf numFmtId="3" fontId="0" fillId="0" borderId="0" xfId="0" applyNumberFormat="1"/>
    <xf numFmtId="0" fontId="0" fillId="4" borderId="4" xfId="0" applyFill="1" applyBorder="1" applyAlignment="1">
      <alignment horizontal="right"/>
    </xf>
    <xf numFmtId="0" fontId="0" fillId="4" borderId="3" xfId="0" quotePrefix="1" applyFill="1" applyBorder="1" applyAlignment="1">
      <alignment horizontal="right"/>
    </xf>
    <xf numFmtId="0" fontId="8" fillId="0" borderId="0" xfId="0" applyFont="1"/>
    <xf numFmtId="2" fontId="4" fillId="4" borderId="4" xfId="0" applyNumberFormat="1" applyFont="1" applyFill="1" applyBorder="1" applyAlignment="1">
      <alignment horizontal="right" vertical="top" wrapText="1"/>
    </xf>
    <xf numFmtId="0" fontId="4" fillId="4" borderId="4" xfId="0" applyFont="1" applyFill="1" applyBorder="1" applyAlignment="1">
      <alignment horizontal="right" vertical="top" wrapText="1"/>
    </xf>
    <xf numFmtId="2" fontId="4" fillId="4" borderId="3" xfId="0" quotePrefix="1" applyNumberFormat="1" applyFont="1" applyFill="1" applyBorder="1" applyAlignment="1">
      <alignment horizontal="right" vertical="top" wrapText="1"/>
    </xf>
    <xf numFmtId="2" fontId="4" fillId="4" borderId="4" xfId="0" applyNumberFormat="1" applyFont="1" applyFill="1" applyBorder="1" applyAlignment="1">
      <alignment horizontal="center" vertical="top" wrapText="1"/>
    </xf>
    <xf numFmtId="0" fontId="4" fillId="4" borderId="4" xfId="0" applyFont="1" applyFill="1" applyBorder="1" applyAlignment="1">
      <alignment horizontal="center" vertical="top" wrapText="1"/>
    </xf>
    <xf numFmtId="0" fontId="0" fillId="4" borderId="7" xfId="0" applyFill="1" applyBorder="1" applyAlignment="1">
      <alignment horizontal="right"/>
    </xf>
    <xf numFmtId="0" fontId="0" fillId="4" borderId="8" xfId="0" quotePrefix="1" applyFill="1" applyBorder="1" applyAlignment="1">
      <alignment horizontal="right"/>
    </xf>
    <xf numFmtId="3" fontId="4" fillId="0" borderId="3" xfId="0" applyNumberFormat="1" applyFont="1" applyBorder="1" applyAlignment="1">
      <alignment horizontal="center"/>
    </xf>
    <xf numFmtId="3" fontId="4" fillId="0" borderId="3" xfId="0" applyNumberFormat="1" applyFont="1" applyBorder="1" applyAlignment="1">
      <alignment horizontal="right"/>
    </xf>
    <xf numFmtId="2" fontId="4" fillId="4" borderId="8" xfId="0" quotePrefix="1" applyNumberFormat="1" applyFont="1" applyFill="1" applyBorder="1" applyAlignment="1">
      <alignment horizontal="right" vertical="top" wrapText="1"/>
    </xf>
    <xf numFmtId="3" fontId="4" fillId="0" borderId="8" xfId="0" applyNumberFormat="1" applyFont="1" applyBorder="1" applyAlignment="1">
      <alignment horizontal="right"/>
    </xf>
    <xf numFmtId="0" fontId="10" fillId="2" borderId="0" xfId="0" applyFont="1" applyFill="1" applyAlignment="1">
      <alignment horizontal="center"/>
    </xf>
    <xf numFmtId="0" fontId="2" fillId="2" borderId="0" xfId="0" applyFont="1" applyFill="1"/>
    <xf numFmtId="3" fontId="4" fillId="6" borderId="2" xfId="0" applyNumberFormat="1" applyFont="1" applyFill="1" applyBorder="1"/>
    <xf numFmtId="0" fontId="5" fillId="2" borderId="0" xfId="0" applyFont="1" applyFill="1"/>
    <xf numFmtId="0" fontId="0" fillId="0" borderId="0" xfId="0" applyAlignment="1">
      <alignment horizontal="right"/>
    </xf>
    <xf numFmtId="0" fontId="0" fillId="0" borderId="0" xfId="0" quotePrefix="1" applyAlignment="1">
      <alignment horizontal="right"/>
    </xf>
    <xf numFmtId="4" fontId="0" fillId="0" borderId="0" xfId="0" applyNumberFormat="1"/>
    <xf numFmtId="3" fontId="0" fillId="0" borderId="0" xfId="1" applyNumberFormat="1" applyFont="1" applyFill="1"/>
    <xf numFmtId="3" fontId="0" fillId="0" borderId="1" xfId="1" applyNumberFormat="1" applyFont="1" applyFill="1" applyBorder="1"/>
    <xf numFmtId="3" fontId="0" fillId="0" borderId="1" xfId="0" applyNumberFormat="1" applyBorder="1"/>
    <xf numFmtId="3" fontId="0" fillId="4" borderId="4" xfId="0" applyNumberFormat="1" applyFill="1" applyBorder="1" applyAlignment="1">
      <alignment horizontal="right"/>
    </xf>
    <xf numFmtId="3" fontId="0" fillId="4" borderId="3" xfId="0" quotePrefix="1" applyNumberFormat="1" applyFill="1" applyBorder="1" applyAlignment="1">
      <alignment horizontal="right"/>
    </xf>
    <xf numFmtId="168" fontId="0" fillId="0" borderId="0" xfId="0" applyNumberFormat="1"/>
    <xf numFmtId="3" fontId="0" fillId="0" borderId="9" xfId="0" applyNumberFormat="1" applyBorder="1"/>
    <xf numFmtId="4" fontId="0" fillId="4" borderId="12" xfId="0" applyNumberFormat="1" applyFill="1" applyBorder="1" applyAlignment="1">
      <alignment horizontal="right"/>
    </xf>
    <xf numFmtId="4" fontId="0" fillId="4" borderId="13" xfId="0" quotePrefix="1" applyNumberFormat="1" applyFill="1" applyBorder="1" applyAlignment="1">
      <alignment horizontal="right"/>
    </xf>
    <xf numFmtId="3" fontId="0" fillId="0" borderId="14" xfId="1" applyNumberFormat="1" applyFont="1" applyFill="1" applyBorder="1"/>
    <xf numFmtId="3" fontId="0" fillId="0" borderId="15" xfId="1" applyNumberFormat="1" applyFont="1" applyFill="1" applyBorder="1"/>
    <xf numFmtId="168" fontId="0" fillId="0" borderId="14" xfId="0" applyNumberFormat="1" applyBorder="1"/>
    <xf numFmtId="3" fontId="0" fillId="5" borderId="16" xfId="0" applyNumberFormat="1" applyFill="1" applyBorder="1"/>
    <xf numFmtId="0" fontId="2" fillId="0" borderId="11" xfId="0" applyFont="1" applyBorder="1"/>
    <xf numFmtId="0" fontId="0" fillId="2" borderId="1" xfId="0" applyFill="1" applyBorder="1"/>
    <xf numFmtId="167" fontId="4" fillId="0" borderId="0" xfId="1" applyNumberFormat="1" applyFont="1" applyAlignment="1">
      <alignment wrapText="1"/>
    </xf>
    <xf numFmtId="167" fontId="4" fillId="0" borderId="0" xfId="1" applyNumberFormat="1" applyFont="1" applyAlignment="1">
      <alignment horizontal="right" wrapText="1"/>
    </xf>
    <xf numFmtId="167" fontId="4" fillId="4" borderId="2" xfId="1" applyNumberFormat="1" applyFont="1" applyFill="1" applyBorder="1" applyAlignment="1">
      <alignment horizontal="center" vertical="top" wrapText="1"/>
    </xf>
    <xf numFmtId="167" fontId="4" fillId="0" borderId="0" xfId="1" applyNumberFormat="1" applyFont="1" applyBorder="1" applyAlignment="1">
      <alignment horizontal="left" vertical="top" wrapText="1"/>
    </xf>
    <xf numFmtId="167" fontId="4" fillId="0" borderId="0" xfId="1" applyNumberFormat="1" applyFont="1" applyAlignment="1">
      <alignment horizontal="center" vertical="top" wrapText="1"/>
    </xf>
    <xf numFmtId="167" fontId="2" fillId="0" borderId="0" xfId="1" applyNumberFormat="1" applyFont="1" applyAlignment="1">
      <alignment horizontal="center"/>
    </xf>
    <xf numFmtId="167" fontId="2" fillId="0" borderId="0" xfId="1" applyNumberFormat="1" applyFont="1"/>
    <xf numFmtId="2" fontId="4" fillId="4" borderId="2" xfId="0" applyNumberFormat="1" applyFont="1" applyFill="1" applyBorder="1" applyAlignment="1">
      <alignment horizontal="right" vertical="top" wrapText="1"/>
    </xf>
    <xf numFmtId="2" fontId="4" fillId="4" borderId="5" xfId="0" applyNumberFormat="1" applyFont="1" applyFill="1" applyBorder="1" applyAlignment="1">
      <alignment horizontal="right" vertical="top" wrapText="1"/>
    </xf>
    <xf numFmtId="0" fontId="2" fillId="0" borderId="1" xfId="0" applyFont="1" applyBorder="1"/>
    <xf numFmtId="0" fontId="0" fillId="0" borderId="5" xfId="0" applyBorder="1"/>
    <xf numFmtId="0" fontId="3" fillId="0" borderId="0" xfId="0" applyFont="1"/>
    <xf numFmtId="0" fontId="3" fillId="0" borderId="0" xfId="0" applyFont="1" applyAlignment="1">
      <alignment horizontal="center"/>
    </xf>
    <xf numFmtId="3" fontId="3" fillId="0" borderId="1" xfId="0" applyNumberFormat="1" applyFont="1" applyBorder="1"/>
    <xf numFmtId="3" fontId="3" fillId="5" borderId="1" xfId="0" applyNumberFormat="1" applyFont="1" applyFill="1" applyBorder="1"/>
    <xf numFmtId="3" fontId="3" fillId="5" borderId="9" xfId="0" applyNumberFormat="1" applyFont="1" applyFill="1" applyBorder="1"/>
    <xf numFmtId="3" fontId="2" fillId="0" borderId="10" xfId="0" applyNumberFormat="1" applyFont="1" applyBorder="1"/>
    <xf numFmtId="2" fontId="10" fillId="4" borderId="4" xfId="0" applyNumberFormat="1" applyFont="1" applyFill="1" applyBorder="1" applyAlignment="1">
      <alignment horizontal="center" vertical="top" wrapText="1"/>
    </xf>
    <xf numFmtId="2" fontId="10" fillId="4" borderId="3" xfId="0" quotePrefix="1" applyNumberFormat="1" applyFont="1" applyFill="1" applyBorder="1" applyAlignment="1">
      <alignment horizontal="right" vertical="top" wrapText="1"/>
    </xf>
    <xf numFmtId="2" fontId="10" fillId="0" borderId="0" xfId="0" applyNumberFormat="1" applyFont="1" applyAlignment="1">
      <alignment horizontal="right"/>
    </xf>
    <xf numFmtId="3" fontId="10" fillId="0" borderId="1" xfId="0" applyNumberFormat="1" applyFont="1" applyBorder="1" applyAlignment="1">
      <alignment horizontal="center"/>
    </xf>
    <xf numFmtId="166" fontId="10" fillId="0" borderId="1" xfId="0" applyNumberFormat="1" applyFont="1" applyBorder="1"/>
    <xf numFmtId="0" fontId="11" fillId="0" borderId="0" xfId="0" applyFont="1"/>
    <xf numFmtId="0" fontId="12" fillId="0" borderId="0" xfId="0" applyFont="1"/>
    <xf numFmtId="0" fontId="2" fillId="0" borderId="1" xfId="0" applyFont="1" applyBorder="1" applyAlignment="1">
      <alignment wrapText="1"/>
    </xf>
    <xf numFmtId="3" fontId="10" fillId="0" borderId="1" xfId="0" applyNumberFormat="1" applyFont="1" applyBorder="1"/>
    <xf numFmtId="3" fontId="10" fillId="0" borderId="0" xfId="0" applyNumberFormat="1" applyFont="1"/>
    <xf numFmtId="3" fontId="10" fillId="0" borderId="4" xfId="0" applyNumberFormat="1" applyFont="1" applyBorder="1" applyAlignment="1">
      <alignment horizontal="center"/>
    </xf>
    <xf numFmtId="0" fontId="10" fillId="0" borderId="0" xfId="0" applyFont="1"/>
    <xf numFmtId="0" fontId="0" fillId="0" borderId="1" xfId="0" applyBorder="1" applyAlignment="1">
      <alignment wrapText="1"/>
    </xf>
    <xf numFmtId="3" fontId="0" fillId="4" borderId="3" xfId="0" quotePrefix="1" applyNumberFormat="1" applyFill="1" applyBorder="1" applyAlignment="1">
      <alignment horizontal="right" vertical="top"/>
    </xf>
    <xf numFmtId="4" fontId="0" fillId="4" borderId="13" xfId="0" quotePrefix="1" applyNumberFormat="1" applyFill="1" applyBorder="1" applyAlignment="1">
      <alignment horizontal="right" vertical="top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3" fontId="2" fillId="0" borderId="0" xfId="0" applyNumberFormat="1" applyFont="1"/>
    <xf numFmtId="0" fontId="11" fillId="0" borderId="9" xfId="0" applyFont="1" applyBorder="1"/>
    <xf numFmtId="0" fontId="0" fillId="0" borderId="11" xfId="0" applyBorder="1"/>
    <xf numFmtId="0" fontId="12" fillId="2" borderId="0" xfId="0" applyFont="1" applyFill="1"/>
    <xf numFmtId="0" fontId="12" fillId="5" borderId="0" xfId="0" applyFont="1" applyFill="1"/>
    <xf numFmtId="0" fontId="12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4" fillId="0" borderId="0" xfId="0" applyFont="1"/>
    <xf numFmtId="0" fontId="15" fillId="0" borderId="0" xfId="0" applyFont="1"/>
    <xf numFmtId="0" fontId="0" fillId="0" borderId="0" xfId="0" applyAlignment="1">
      <alignment horizontal="left" vertical="center"/>
    </xf>
    <xf numFmtId="0" fontId="0" fillId="0" borderId="0" xfId="0" applyAlignment="1">
      <alignment wrapText="1"/>
    </xf>
    <xf numFmtId="0" fontId="11" fillId="0" borderId="9" xfId="0" applyFont="1" applyBorder="1" applyAlignment="1">
      <alignment wrapText="1"/>
    </xf>
    <xf numFmtId="0" fontId="11" fillId="0" borderId="10" xfId="0" applyFont="1" applyBorder="1"/>
    <xf numFmtId="0" fontId="2" fillId="0" borderId="0" xfId="0" applyFont="1" applyAlignment="1">
      <alignment wrapText="1"/>
    </xf>
    <xf numFmtId="0" fontId="0" fillId="0" borderId="6" xfId="0" applyBorder="1" applyAlignment="1">
      <alignment wrapText="1"/>
    </xf>
    <xf numFmtId="0" fontId="0" fillId="0" borderId="1" xfId="0" applyBorder="1" applyAlignment="1">
      <alignment horizontal="left" vertical="top" wrapText="1"/>
    </xf>
    <xf numFmtId="0" fontId="0" fillId="0" borderId="0" xfId="0" applyAlignment="1">
      <alignment vertical="center"/>
    </xf>
    <xf numFmtId="0" fontId="11" fillId="0" borderId="9" xfId="0" applyFont="1" applyBorder="1" applyAlignment="1">
      <alignment vertical="center" wrapText="1"/>
    </xf>
    <xf numFmtId="0" fontId="11" fillId="0" borderId="1" xfId="0" applyFont="1" applyBorder="1"/>
    <xf numFmtId="0" fontId="0" fillId="0" borderId="9" xfId="0" applyBorder="1" applyAlignment="1">
      <alignment vertical="center"/>
    </xf>
    <xf numFmtId="3" fontId="4" fillId="0" borderId="1" xfId="0" applyNumberFormat="1" applyFont="1" applyBorder="1"/>
    <xf numFmtId="0" fontId="0" fillId="0" borderId="1" xfId="0" applyBorder="1" applyAlignment="1">
      <alignment vertical="center"/>
    </xf>
    <xf numFmtId="0" fontId="0" fillId="7" borderId="1" xfId="0" applyFill="1" applyBorder="1" applyAlignment="1">
      <alignment vertical="center"/>
    </xf>
    <xf numFmtId="0" fontId="0" fillId="7" borderId="1" xfId="0" applyFill="1" applyBorder="1" applyAlignment="1">
      <alignment vertical="center" wrapText="1"/>
    </xf>
    <xf numFmtId="3" fontId="0" fillId="7" borderId="1" xfId="0" quotePrefix="1" applyNumberFormat="1" applyFill="1" applyBorder="1" applyAlignment="1">
      <alignment horizontal="right" vertical="center"/>
    </xf>
    <xf numFmtId="3" fontId="0" fillId="7" borderId="9" xfId="0" quotePrefix="1" applyNumberFormat="1" applyFill="1" applyBorder="1" applyAlignment="1">
      <alignment horizontal="right" vertical="center"/>
    </xf>
    <xf numFmtId="3" fontId="0" fillId="0" borderId="0" xfId="1" applyNumberFormat="1" applyFont="1" applyBorder="1"/>
    <xf numFmtId="169" fontId="2" fillId="0" borderId="0" xfId="0" applyNumberFormat="1" applyFont="1"/>
    <xf numFmtId="14" fontId="0" fillId="2" borderId="1" xfId="0" applyNumberFormat="1" applyFill="1" applyBorder="1" applyAlignment="1">
      <alignment horizontal="left"/>
    </xf>
    <xf numFmtId="14" fontId="0" fillId="0" borderId="1" xfId="0" applyNumberFormat="1" applyBorder="1" applyAlignment="1">
      <alignment horizontal="left" wrapText="1"/>
    </xf>
    <xf numFmtId="14" fontId="11" fillId="0" borderId="0" xfId="0" applyNumberFormat="1" applyFont="1"/>
    <xf numFmtId="14" fontId="11" fillId="0" borderId="0" xfId="0" applyNumberFormat="1" applyFont="1" applyAlignment="1">
      <alignment horizontal="left"/>
    </xf>
    <xf numFmtId="3" fontId="10" fillId="0" borderId="2" xfId="0" applyNumberFormat="1" applyFont="1" applyBorder="1" applyAlignment="1">
      <alignment horizontal="center"/>
    </xf>
    <xf numFmtId="3" fontId="4" fillId="0" borderId="2" xfId="0" applyNumberFormat="1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3" fontId="0" fillId="0" borderId="1" xfId="0" applyNumberFormat="1" applyBorder="1" applyAlignment="1">
      <alignment horizontal="right" vertical="center"/>
    </xf>
    <xf numFmtId="3" fontId="0" fillId="0" borderId="1" xfId="1" applyNumberFormat="1" applyFont="1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167" fontId="0" fillId="0" borderId="1" xfId="1" applyNumberFormat="1" applyFont="1" applyBorder="1" applyAlignment="1">
      <alignment horizontal="right" vertical="center"/>
    </xf>
    <xf numFmtId="0" fontId="0" fillId="0" borderId="1" xfId="0" applyBorder="1" applyAlignment="1">
      <alignment horizontal="left" wrapText="1"/>
    </xf>
    <xf numFmtId="0" fontId="2" fillId="0" borderId="6" xfId="0" applyFont="1" applyBorder="1"/>
    <xf numFmtId="0" fontId="0" fillId="0" borderId="0" xfId="0" applyAlignment="1">
      <alignment horizontal="left" vertical="top"/>
    </xf>
    <xf numFmtId="3" fontId="4" fillId="2" borderId="7" xfId="0" applyNumberFormat="1" applyFont="1" applyFill="1" applyBorder="1"/>
    <xf numFmtId="3" fontId="4" fillId="2" borderId="5" xfId="0" applyNumberFormat="1" applyFont="1" applyFill="1" applyBorder="1"/>
    <xf numFmtId="3" fontId="4" fillId="6" borderId="5" xfId="0" applyNumberFormat="1" applyFont="1" applyFill="1" applyBorder="1"/>
    <xf numFmtId="3" fontId="4" fillId="0" borderId="18" xfId="0" applyNumberFormat="1" applyFont="1" applyBorder="1" applyAlignment="1">
      <alignment horizontal="center"/>
    </xf>
    <xf numFmtId="166" fontId="4" fillId="2" borderId="6" xfId="0" applyNumberFormat="1" applyFont="1" applyFill="1" applyBorder="1"/>
    <xf numFmtId="3" fontId="4" fillId="2" borderId="6" xfId="0" applyNumberFormat="1" applyFont="1" applyFill="1" applyBorder="1"/>
    <xf numFmtId="3" fontId="4" fillId="6" borderId="6" xfId="0" applyNumberFormat="1" applyFont="1" applyFill="1" applyBorder="1"/>
    <xf numFmtId="3" fontId="10" fillId="0" borderId="11" xfId="0" applyNumberFormat="1" applyFont="1" applyBorder="1"/>
    <xf numFmtId="170" fontId="4" fillId="2" borderId="20" xfId="0" applyNumberFormat="1" applyFont="1" applyFill="1" applyBorder="1"/>
    <xf numFmtId="166" fontId="4" fillId="2" borderId="20" xfId="0" applyNumberFormat="1" applyFont="1" applyFill="1" applyBorder="1" applyAlignment="1">
      <alignment horizontal="right"/>
    </xf>
    <xf numFmtId="170" fontId="4" fillId="2" borderId="20" xfId="0" applyNumberFormat="1" applyFont="1" applyFill="1" applyBorder="1" applyAlignment="1">
      <alignment horizontal="right"/>
    </xf>
    <xf numFmtId="3" fontId="4" fillId="6" borderId="20" xfId="0" applyNumberFormat="1" applyFont="1" applyFill="1" applyBorder="1"/>
    <xf numFmtId="2" fontId="4" fillId="0" borderId="21" xfId="0" applyNumberFormat="1" applyFont="1" applyBorder="1" applyAlignment="1">
      <alignment horizontal="right"/>
    </xf>
    <xf numFmtId="3" fontId="4" fillId="2" borderId="7" xfId="0" applyNumberFormat="1" applyFont="1" applyFill="1" applyBorder="1" applyAlignment="1">
      <alignment horizontal="center"/>
    </xf>
    <xf numFmtId="3" fontId="4" fillId="2" borderId="5" xfId="0" applyNumberFormat="1" applyFont="1" applyFill="1" applyBorder="1" applyAlignment="1">
      <alignment horizontal="center"/>
    </xf>
    <xf numFmtId="166" fontId="4" fillId="2" borderId="8" xfId="0" applyNumberFormat="1" applyFont="1" applyFill="1" applyBorder="1"/>
    <xf numFmtId="2" fontId="4" fillId="0" borderId="20" xfId="0" applyNumberFormat="1" applyFont="1" applyBorder="1" applyAlignment="1">
      <alignment horizontal="center"/>
    </xf>
    <xf numFmtId="2" fontId="4" fillId="2" borderId="22" xfId="0" applyNumberFormat="1" applyFont="1" applyFill="1" applyBorder="1" applyAlignment="1">
      <alignment horizontal="center"/>
    </xf>
    <xf numFmtId="2" fontId="4" fillId="2" borderId="20" xfId="0" applyNumberFormat="1" applyFont="1" applyFill="1" applyBorder="1" applyAlignment="1">
      <alignment horizontal="center"/>
    </xf>
    <xf numFmtId="2" fontId="6" fillId="2" borderId="20" xfId="0" applyNumberFormat="1" applyFont="1" applyFill="1" applyBorder="1"/>
    <xf numFmtId="2" fontId="4" fillId="2" borderId="23" xfId="0" applyNumberFormat="1" applyFont="1" applyFill="1" applyBorder="1" applyAlignment="1">
      <alignment horizontal="right"/>
    </xf>
    <xf numFmtId="3" fontId="4" fillId="0" borderId="6" xfId="0" applyNumberFormat="1" applyFont="1" applyBorder="1" applyAlignment="1">
      <alignment horizontal="center"/>
    </xf>
    <xf numFmtId="165" fontId="4" fillId="2" borderId="1" xfId="1" applyFont="1" applyFill="1" applyBorder="1" applyAlignment="1">
      <alignment horizontal="center"/>
    </xf>
    <xf numFmtId="0" fontId="0" fillId="2" borderId="1" xfId="0" applyFill="1" applyBorder="1" applyAlignment="1">
      <alignment wrapText="1"/>
    </xf>
    <xf numFmtId="165" fontId="4" fillId="0" borderId="1" xfId="1" applyFont="1" applyBorder="1" applyAlignment="1">
      <alignment horizontal="center"/>
    </xf>
    <xf numFmtId="166" fontId="2" fillId="0" borderId="0" xfId="0" applyNumberFormat="1" applyFont="1"/>
    <xf numFmtId="167" fontId="4" fillId="2" borderId="20" xfId="1" applyNumberFormat="1" applyFont="1" applyFill="1" applyBorder="1" applyAlignment="1">
      <alignment horizontal="center"/>
    </xf>
    <xf numFmtId="3" fontId="0" fillId="0" borderId="0" xfId="1" applyNumberFormat="1" applyFont="1" applyFill="1" applyBorder="1"/>
    <xf numFmtId="0" fontId="0" fillId="0" borderId="1" xfId="0" applyBorder="1" applyAlignment="1">
      <alignment vertical="top" wrapText="1"/>
    </xf>
    <xf numFmtId="165" fontId="4" fillId="2" borderId="5" xfId="1" applyFont="1" applyFill="1" applyBorder="1" applyAlignment="1">
      <alignment horizontal="center"/>
    </xf>
    <xf numFmtId="166" fontId="18" fillId="0" borderId="1" xfId="1" applyNumberFormat="1" applyFont="1" applyBorder="1" applyAlignment="1">
      <alignment vertical="center"/>
    </xf>
    <xf numFmtId="166" fontId="0" fillId="0" borderId="1" xfId="1" applyNumberFormat="1" applyFont="1" applyBorder="1" applyAlignment="1">
      <alignment vertical="center"/>
    </xf>
    <xf numFmtId="166" fontId="0" fillId="0" borderId="1" xfId="1" applyNumberFormat="1" applyFont="1" applyBorder="1" applyAlignment="1">
      <alignment horizontal="right" vertical="center"/>
    </xf>
    <xf numFmtId="0" fontId="0" fillId="0" borderId="1" xfId="0" applyBorder="1" applyAlignment="1">
      <alignment horizontal="left" vertical="center"/>
    </xf>
    <xf numFmtId="0" fontId="16" fillId="8" borderId="4" xfId="0" applyFont="1" applyFill="1" applyBorder="1" applyAlignment="1">
      <alignment horizontal="center" wrapText="1"/>
    </xf>
    <xf numFmtId="0" fontId="16" fillId="8" borderId="4" xfId="0" applyFont="1" applyFill="1" applyBorder="1" applyAlignment="1">
      <alignment horizontal="center"/>
    </xf>
    <xf numFmtId="0" fontId="16" fillId="8" borderId="7" xfId="0" applyFont="1" applyFill="1" applyBorder="1" applyAlignment="1">
      <alignment horizontal="center"/>
    </xf>
    <xf numFmtId="0" fontId="16" fillId="8" borderId="3" xfId="0" applyFont="1" applyFill="1" applyBorder="1" applyAlignment="1">
      <alignment horizontal="center" wrapText="1"/>
    </xf>
    <xf numFmtId="0" fontId="16" fillId="8" borderId="3" xfId="0" quotePrefix="1" applyFont="1" applyFill="1" applyBorder="1" applyAlignment="1">
      <alignment horizontal="center"/>
    </xf>
    <xf numFmtId="0" fontId="16" fillId="8" borderId="4" xfId="0" applyFont="1" applyFill="1" applyBorder="1" applyAlignment="1">
      <alignment vertical="top"/>
    </xf>
    <xf numFmtId="0" fontId="16" fillId="8" borderId="4" xfId="0" applyFont="1" applyFill="1" applyBorder="1" applyAlignment="1">
      <alignment vertical="top" wrapText="1"/>
    </xf>
    <xf numFmtId="0" fontId="16" fillId="8" borderId="3" xfId="0" applyFont="1" applyFill="1" applyBorder="1" applyAlignment="1">
      <alignment vertical="top"/>
    </xf>
    <xf numFmtId="0" fontId="16" fillId="8" borderId="3" xfId="0" applyFont="1" applyFill="1" applyBorder="1" applyAlignment="1">
      <alignment vertical="top" wrapText="1"/>
    </xf>
    <xf numFmtId="0" fontId="16" fillId="8" borderId="7" xfId="0" applyFont="1" applyFill="1" applyBorder="1" applyAlignment="1">
      <alignment vertical="top"/>
    </xf>
    <xf numFmtId="0" fontId="16" fillId="8" borderId="8" xfId="0" applyFont="1" applyFill="1" applyBorder="1" applyAlignment="1">
      <alignment vertical="top"/>
    </xf>
    <xf numFmtId="0" fontId="16" fillId="8" borderId="7" xfId="0" applyFont="1" applyFill="1" applyBorder="1" applyAlignment="1">
      <alignment vertical="top" wrapText="1"/>
    </xf>
    <xf numFmtId="0" fontId="0" fillId="0" borderId="9" xfId="0" applyBorder="1" applyAlignment="1">
      <alignment horizontal="left" vertical="center" wrapText="1"/>
    </xf>
    <xf numFmtId="0" fontId="0" fillId="0" borderId="9" xfId="0" applyBorder="1" applyAlignment="1">
      <alignment horizontal="left" wrapText="1"/>
    </xf>
    <xf numFmtId="166" fontId="0" fillId="0" borderId="1" xfId="0" applyNumberFormat="1" applyBorder="1" applyAlignment="1">
      <alignment vertical="center"/>
    </xf>
    <xf numFmtId="166" fontId="0" fillId="0" borderId="1" xfId="0" applyNumberFormat="1" applyBorder="1"/>
    <xf numFmtId="0" fontId="17" fillId="0" borderId="0" xfId="0" applyFont="1" applyAlignment="1">
      <alignment horizontal="left" vertical="center"/>
    </xf>
    <xf numFmtId="0" fontId="16" fillId="8" borderId="3" xfId="0" applyFont="1" applyFill="1" applyBorder="1" applyAlignment="1">
      <alignment horizontal="center" vertical="center" wrapText="1"/>
    </xf>
    <xf numFmtId="0" fontId="16" fillId="8" borderId="8" xfId="0" applyFont="1" applyFill="1" applyBorder="1" applyAlignment="1">
      <alignment horizontal="center" vertical="center" wrapText="1"/>
    </xf>
    <xf numFmtId="0" fontId="2" fillId="10" borderId="0" xfId="0" applyFont="1" applyFill="1"/>
    <xf numFmtId="0" fontId="0" fillId="10" borderId="0" xfId="0" applyFill="1"/>
    <xf numFmtId="0" fontId="2" fillId="10" borderId="0" xfId="0" applyFont="1" applyFill="1" applyAlignment="1">
      <alignment horizontal="center"/>
    </xf>
    <xf numFmtId="0" fontId="3" fillId="10" borderId="0" xfId="0" applyFont="1" applyFill="1" applyAlignment="1">
      <alignment horizontal="center"/>
    </xf>
    <xf numFmtId="0" fontId="0" fillId="10" borderId="0" xfId="0" applyFill="1" applyAlignment="1">
      <alignment horizontal="center"/>
    </xf>
    <xf numFmtId="0" fontId="2" fillId="10" borderId="0" xfId="0" applyFont="1" applyFill="1" applyAlignment="1">
      <alignment horizontal="center" vertical="center"/>
    </xf>
    <xf numFmtId="0" fontId="2" fillId="10" borderId="0" xfId="0" applyFont="1" applyFill="1" applyAlignment="1">
      <alignment horizontal="center" vertical="center" wrapText="1"/>
    </xf>
    <xf numFmtId="0" fontId="0" fillId="10" borderId="0" xfId="0" applyFill="1" applyAlignment="1">
      <alignment horizontal="center" vertical="center"/>
    </xf>
    <xf numFmtId="0" fontId="3" fillId="10" borderId="0" xfId="0" applyFont="1" applyFill="1"/>
    <xf numFmtId="3" fontId="2" fillId="10" borderId="0" xfId="0" applyNumberFormat="1" applyFont="1" applyFill="1"/>
    <xf numFmtId="3" fontId="3" fillId="10" borderId="0" xfId="0" applyNumberFormat="1" applyFont="1" applyFill="1"/>
    <xf numFmtId="0" fontId="10" fillId="9" borderId="29" xfId="0" applyFont="1" applyFill="1" applyBorder="1" applyAlignment="1">
      <alignment horizontal="center" vertical="center" wrapText="1"/>
    </xf>
    <xf numFmtId="0" fontId="10" fillId="9" borderId="26" xfId="0" applyFont="1" applyFill="1" applyBorder="1" applyAlignment="1">
      <alignment horizontal="center" vertical="center" wrapText="1"/>
    </xf>
    <xf numFmtId="0" fontId="10" fillId="9" borderId="30" xfId="0" applyFont="1" applyFill="1" applyBorder="1" applyAlignment="1">
      <alignment horizontal="center" vertical="center" wrapText="1"/>
    </xf>
    <xf numFmtId="0" fontId="10" fillId="9" borderId="31" xfId="0" applyFont="1" applyFill="1" applyBorder="1" applyAlignment="1">
      <alignment horizontal="center" vertical="center" wrapText="1"/>
    </xf>
    <xf numFmtId="0" fontId="2" fillId="0" borderId="17" xfId="0" applyFont="1" applyBorder="1" applyAlignment="1">
      <alignment horizontal="left" vertical="center"/>
    </xf>
    <xf numFmtId="172" fontId="4" fillId="0" borderId="32" xfId="0" applyNumberFormat="1" applyFont="1" applyBorder="1" applyAlignment="1">
      <alignment horizontal="center" vertical="center" wrapText="1"/>
    </xf>
    <xf numFmtId="172" fontId="4" fillId="9" borderId="33" xfId="0" applyNumberFormat="1" applyFont="1" applyFill="1" applyBorder="1" applyAlignment="1">
      <alignment horizontal="center" vertical="center" wrapText="1"/>
    </xf>
    <xf numFmtId="172" fontId="4" fillId="9" borderId="34" xfId="0" applyNumberFormat="1" applyFont="1" applyFill="1" applyBorder="1" applyAlignment="1">
      <alignment horizontal="center" vertical="center" wrapText="1"/>
    </xf>
    <xf numFmtId="0" fontId="3" fillId="10" borderId="0" xfId="0" applyFont="1" applyFill="1" applyAlignment="1">
      <alignment horizontal="center" vertical="center" wrapText="1"/>
    </xf>
    <xf numFmtId="0" fontId="2" fillId="10" borderId="0" xfId="0" applyFont="1" applyFill="1" applyAlignment="1">
      <alignment horizontal="center" wrapText="1"/>
    </xf>
    <xf numFmtId="0" fontId="2" fillId="10" borderId="0" xfId="0" applyFont="1" applyFill="1" applyAlignment="1">
      <alignment wrapText="1"/>
    </xf>
    <xf numFmtId="0" fontId="3" fillId="10" borderId="0" xfId="0" applyFont="1" applyFill="1" applyAlignment="1">
      <alignment wrapText="1"/>
    </xf>
    <xf numFmtId="164" fontId="2" fillId="10" borderId="0" xfId="0" applyNumberFormat="1" applyFont="1" applyFill="1" applyAlignment="1">
      <alignment horizontal="center"/>
    </xf>
    <xf numFmtId="164" fontId="2" fillId="10" borderId="0" xfId="2" applyFont="1" applyFill="1" applyAlignment="1">
      <alignment horizontal="center"/>
    </xf>
    <xf numFmtId="164" fontId="2" fillId="10" borderId="0" xfId="0" applyNumberFormat="1" applyFont="1" applyFill="1"/>
    <xf numFmtId="164" fontId="2" fillId="10" borderId="0" xfId="2" applyFont="1" applyFill="1"/>
    <xf numFmtId="2" fontId="4" fillId="0" borderId="19" xfId="0" applyNumberFormat="1" applyFont="1" applyBorder="1" applyAlignment="1">
      <alignment horizontal="center" wrapText="1"/>
    </xf>
    <xf numFmtId="171" fontId="0" fillId="0" borderId="1" xfId="0" applyNumberFormat="1" applyBorder="1" applyAlignment="1">
      <alignment horizontal="center" vertical="center" wrapText="1"/>
    </xf>
    <xf numFmtId="14" fontId="0" fillId="0" borderId="0" xfId="0" applyNumberFormat="1" applyAlignment="1">
      <alignment horizontal="left"/>
    </xf>
    <xf numFmtId="0" fontId="22" fillId="0" borderId="0" xfId="0" applyFont="1"/>
    <xf numFmtId="3" fontId="22" fillId="0" borderId="0" xfId="0" applyNumberFormat="1" applyFont="1"/>
    <xf numFmtId="166" fontId="22" fillId="0" borderId="0" xfId="0" applyNumberFormat="1" applyFont="1"/>
    <xf numFmtId="0" fontId="3" fillId="10" borderId="26" xfId="0" applyFont="1" applyFill="1" applyBorder="1" applyAlignment="1">
      <alignment horizontal="center"/>
    </xf>
    <xf numFmtId="9" fontId="4" fillId="0" borderId="2" xfId="3" applyFont="1" applyBorder="1" applyAlignment="1">
      <alignment horizontal="center"/>
    </xf>
    <xf numFmtId="164" fontId="2" fillId="10" borderId="0" xfId="0" applyNumberFormat="1" applyFont="1" applyFill="1" applyAlignment="1">
      <alignment wrapText="1"/>
    </xf>
    <xf numFmtId="0" fontId="4" fillId="4" borderId="2" xfId="0" applyFont="1" applyFill="1" applyBorder="1" applyAlignment="1">
      <alignment horizontal="center" vertical="top" wrapText="1"/>
    </xf>
    <xf numFmtId="2" fontId="4" fillId="4" borderId="2" xfId="0" applyNumberFormat="1" applyFont="1" applyFill="1" applyBorder="1" applyAlignment="1">
      <alignment horizontal="center" vertical="top" wrapText="1"/>
    </xf>
    <xf numFmtId="3" fontId="2" fillId="0" borderId="0" xfId="0" applyNumberFormat="1" applyFont="1" applyAlignment="1">
      <alignment horizontal="center"/>
    </xf>
    <xf numFmtId="172" fontId="0" fillId="10" borderId="0" xfId="0" applyNumberFormat="1" applyFill="1"/>
    <xf numFmtId="0" fontId="17" fillId="0" borderId="0" xfId="0" applyFont="1" applyAlignment="1">
      <alignment horizontal="center" vertical="center"/>
    </xf>
    <xf numFmtId="0" fontId="17" fillId="0" borderId="0" xfId="0" applyFont="1"/>
    <xf numFmtId="0" fontId="17" fillId="10" borderId="0" xfId="0" applyFont="1" applyFill="1"/>
    <xf numFmtId="0" fontId="17" fillId="10" borderId="0" xfId="0" applyFont="1" applyFill="1" applyAlignment="1">
      <alignment horizontal="center"/>
    </xf>
    <xf numFmtId="0" fontId="17" fillId="10" borderId="0" xfId="0" applyFont="1" applyFill="1" applyAlignment="1">
      <alignment horizontal="center" vertical="center"/>
    </xf>
    <xf numFmtId="166" fontId="10" fillId="0" borderId="5" xfId="0" applyNumberFormat="1" applyFont="1" applyBorder="1"/>
    <xf numFmtId="0" fontId="10" fillId="0" borderId="0" xfId="0" applyFont="1" applyAlignment="1">
      <alignment horizontal="right"/>
    </xf>
    <xf numFmtId="10" fontId="3" fillId="0" borderId="0" xfId="3" applyNumberFormat="1" applyFont="1"/>
    <xf numFmtId="0" fontId="23" fillId="0" borderId="0" xfId="0" applyFont="1"/>
    <xf numFmtId="3" fontId="3" fillId="3" borderId="0" xfId="0" applyNumberFormat="1" applyFont="1" applyFill="1"/>
    <xf numFmtId="0" fontId="33" fillId="0" borderId="0" xfId="0" applyFont="1"/>
    <xf numFmtId="3" fontId="33" fillId="0" borderId="0" xfId="0" applyNumberFormat="1" applyFont="1"/>
    <xf numFmtId="0" fontId="35" fillId="8" borderId="3" xfId="0" applyFont="1" applyFill="1" applyBorder="1"/>
    <xf numFmtId="2" fontId="0" fillId="0" borderId="7" xfId="0" applyNumberFormat="1" applyBorder="1" applyAlignment="1">
      <alignment vertical="center"/>
    </xf>
    <xf numFmtId="2" fontId="0" fillId="0" borderId="25" xfId="0" applyNumberFormat="1" applyBorder="1" applyAlignment="1">
      <alignment horizontal="left" vertical="center" wrapText="1"/>
    </xf>
    <xf numFmtId="2" fontId="0" fillId="0" borderId="5" xfId="0" applyNumberFormat="1" applyBorder="1" applyAlignment="1">
      <alignment vertical="center"/>
    </xf>
    <xf numFmtId="2" fontId="0" fillId="0" borderId="0" xfId="0" applyNumberFormat="1" applyAlignment="1">
      <alignment horizontal="left" vertical="center" wrapText="1"/>
    </xf>
    <xf numFmtId="2" fontId="0" fillId="0" borderId="8" xfId="0" applyNumberFormat="1" applyBorder="1" applyAlignment="1">
      <alignment vertical="center"/>
    </xf>
    <xf numFmtId="2" fontId="0" fillId="0" borderId="28" xfId="0" applyNumberFormat="1" applyBorder="1" applyAlignment="1">
      <alignment horizontal="left" vertical="center" wrapText="1"/>
    </xf>
    <xf numFmtId="0" fontId="0" fillId="7" borderId="5" xfId="0" applyFill="1" applyBorder="1" applyAlignment="1">
      <alignment vertical="center"/>
    </xf>
    <xf numFmtId="0" fontId="0" fillId="7" borderId="0" xfId="0" applyFill="1" applyAlignment="1">
      <alignment vertical="center" wrapText="1"/>
    </xf>
    <xf numFmtId="3" fontId="0" fillId="7" borderId="0" xfId="0" quotePrefix="1" applyNumberFormat="1" applyFill="1" applyAlignment="1">
      <alignment horizontal="right" vertical="center"/>
    </xf>
    <xf numFmtId="3" fontId="0" fillId="7" borderId="6" xfId="0" quotePrefix="1" applyNumberFormat="1" applyFill="1" applyBorder="1" applyAlignment="1">
      <alignment horizontal="right" vertical="center"/>
    </xf>
    <xf numFmtId="166" fontId="18" fillId="0" borderId="0" xfId="1" applyNumberFormat="1" applyFont="1" applyBorder="1" applyAlignment="1">
      <alignment horizontal="center" vertical="center"/>
    </xf>
    <xf numFmtId="166" fontId="18" fillId="0" borderId="6" xfId="1" applyNumberFormat="1" applyFont="1" applyBorder="1" applyAlignment="1">
      <alignment horizontal="center" vertical="center"/>
    </xf>
    <xf numFmtId="166" fontId="18" fillId="0" borderId="28" xfId="1" applyNumberFormat="1" applyFont="1" applyBorder="1" applyAlignment="1">
      <alignment horizontal="center" vertical="center"/>
    </xf>
    <xf numFmtId="166" fontId="18" fillId="0" borderId="24" xfId="1" applyNumberFormat="1" applyFont="1" applyBorder="1" applyAlignment="1">
      <alignment horizontal="center" vertical="center"/>
    </xf>
    <xf numFmtId="166" fontId="18" fillId="0" borderId="18" xfId="1" applyNumberFormat="1" applyFont="1" applyBorder="1" applyAlignment="1">
      <alignment horizontal="center" vertical="center"/>
    </xf>
    <xf numFmtId="0" fontId="34" fillId="13" borderId="18" xfId="0" applyFont="1" applyFill="1" applyBorder="1" applyAlignment="1">
      <alignment horizontal="center" vertical="center"/>
    </xf>
    <xf numFmtId="0" fontId="34" fillId="13" borderId="24" xfId="0" quotePrefix="1" applyFont="1" applyFill="1" applyBorder="1" applyAlignment="1">
      <alignment horizontal="center" vertical="center"/>
    </xf>
    <xf numFmtId="0" fontId="34" fillId="13" borderId="25" xfId="0" applyFont="1" applyFill="1" applyBorder="1" applyAlignment="1">
      <alignment horizontal="center" vertical="center"/>
    </xf>
    <xf numFmtId="0" fontId="34" fillId="13" borderId="28" xfId="0" quotePrefix="1" applyFont="1" applyFill="1" applyBorder="1" applyAlignment="1">
      <alignment horizontal="center" vertical="center"/>
    </xf>
    <xf numFmtId="0" fontId="34" fillId="13" borderId="25" xfId="0" applyFont="1" applyFill="1" applyBorder="1" applyAlignment="1">
      <alignment horizontal="center" vertical="center" wrapText="1"/>
    </xf>
    <xf numFmtId="0" fontId="34" fillId="13" borderId="28" xfId="0" applyFont="1" applyFill="1" applyBorder="1" applyAlignment="1">
      <alignment horizontal="center" vertical="center" wrapText="1"/>
    </xf>
    <xf numFmtId="0" fontId="34" fillId="13" borderId="7" xfId="0" applyFont="1" applyFill="1" applyBorder="1" applyAlignment="1">
      <alignment horizontal="center" vertical="center"/>
    </xf>
    <xf numFmtId="0" fontId="34" fillId="13" borderId="8" xfId="0" applyFont="1" applyFill="1" applyBorder="1" applyAlignment="1">
      <alignment horizontal="center" vertical="center"/>
    </xf>
    <xf numFmtId="2" fontId="10" fillId="0" borderId="28" xfId="0" applyNumberFormat="1" applyFont="1" applyBorder="1" applyAlignment="1">
      <alignment horizontal="center"/>
    </xf>
    <xf numFmtId="2" fontId="10" fillId="0" borderId="24" xfId="0" applyNumberFormat="1" applyFont="1" applyBorder="1" applyAlignment="1">
      <alignment horizontal="center"/>
    </xf>
    <xf numFmtId="0" fontId="3" fillId="2" borderId="30" xfId="0" applyFont="1" applyFill="1" applyBorder="1" applyAlignment="1">
      <alignment horizontal="center"/>
    </xf>
    <xf numFmtId="0" fontId="3" fillId="2" borderId="35" xfId="0" applyFont="1" applyFill="1" applyBorder="1" applyAlignment="1">
      <alignment horizontal="center"/>
    </xf>
    <xf numFmtId="0" fontId="3" fillId="2" borderId="27" xfId="0" applyFont="1" applyFill="1" applyBorder="1" applyAlignment="1">
      <alignment horizontal="center"/>
    </xf>
    <xf numFmtId="0" fontId="3" fillId="10" borderId="0" xfId="0" applyFont="1" applyFill="1" applyAlignment="1">
      <alignment horizontal="center"/>
    </xf>
  </cellXfs>
  <cellStyles count="43">
    <cellStyle name="blank" xfId="24" xr:uid="{DDCA9DB6-7C37-4AB6-ABC2-AF8ACE33613B}"/>
    <cellStyle name="Comma" xfId="1" builtinId="3"/>
    <cellStyle name="Comma 2" xfId="4" xr:uid="{00000000-0005-0000-0000-000001000000}"/>
    <cellStyle name="Comma 2 2" xfId="5" xr:uid="{00000000-0005-0000-0000-000002000000}"/>
    <cellStyle name="Comma 2 77" xfId="25" xr:uid="{7B8E27B6-8A86-495C-8070-A1446F52AB74}"/>
    <cellStyle name="Comma 3" xfId="42" xr:uid="{A9B820BC-A81F-4D12-9190-07E19A8F3648}"/>
    <cellStyle name="Currency" xfId="2" builtinId="4"/>
    <cellStyle name="Currency 2" xfId="23" xr:uid="{C3793DF1-1103-41FE-8568-2FC9CF718ABE}"/>
    <cellStyle name="Formula£" xfId="26" xr:uid="{5F6B1FBF-21D5-45BC-A705-D3F77F586C70}"/>
    <cellStyle name="hard no." xfId="27" xr:uid="{FFE2D326-A7E1-4B8D-81D6-75F66AD1D3E7}"/>
    <cellStyle name="Hyperlink 2" xfId="41" xr:uid="{758D82D4-E49B-418A-A876-35FE091A3FBA}"/>
    <cellStyle name="KPMG Heading 1" xfId="28" xr:uid="{82FAD572-55C4-44A0-B290-7610761222FA}"/>
    <cellStyle name="KPMG Heading 2" xfId="29" xr:uid="{015F08F0-C5D4-4AE1-B9A2-7A43EA3E52D5}"/>
    <cellStyle name="KPMG Heading 3" xfId="30" xr:uid="{909775A7-91C6-44D0-AE06-11AE21C565AD}"/>
    <cellStyle name="KPMG Heading 4" xfId="31" xr:uid="{1A21239C-AA6B-4C15-B1B8-09D16A50468D}"/>
    <cellStyle name="KPMG Normal" xfId="32" xr:uid="{FF05DB43-70DA-4B32-9FA2-56AD8D013E26}"/>
    <cellStyle name="KPMG Normal Text" xfId="33" xr:uid="{97C556F5-2B61-4943-BD8B-2BA9973763FE}"/>
    <cellStyle name="Normal" xfId="0" builtinId="0"/>
    <cellStyle name="Normal 13 2" xfId="34" xr:uid="{8B408859-38AC-4F03-8BC8-066E88C5F073}"/>
    <cellStyle name="Normal 2" xfId="6" xr:uid="{00000000-0005-0000-0000-000005000000}"/>
    <cellStyle name="Normal 2 2" xfId="7" xr:uid="{00000000-0005-0000-0000-000006000000}"/>
    <cellStyle name="Normal 2 3" xfId="35" xr:uid="{D3D86A70-E597-4E22-AA36-3711F38602A5}"/>
    <cellStyle name="Normal 3" xfId="8" xr:uid="{00000000-0005-0000-0000-000007000000}"/>
    <cellStyle name="Normal 3 2" xfId="9" xr:uid="{00000000-0005-0000-0000-000008000000}"/>
    <cellStyle name="Normal 3 2 2" xfId="10" xr:uid="{00000000-0005-0000-0000-000009000000}"/>
    <cellStyle name="Normal 3 3" xfId="11" xr:uid="{00000000-0005-0000-0000-00000A000000}"/>
    <cellStyle name="Normal 3 3 2" xfId="12" xr:uid="{00000000-0005-0000-0000-00000B000000}"/>
    <cellStyle name="Normal 3 4" xfId="13" xr:uid="{00000000-0005-0000-0000-00000C000000}"/>
    <cellStyle name="Normal 3 5" xfId="14" xr:uid="{00000000-0005-0000-0000-00000D000000}"/>
    <cellStyle name="Normal 3 6" xfId="15" xr:uid="{00000000-0005-0000-0000-00000E000000}"/>
    <cellStyle name="Normal 3 6 2" xfId="16" xr:uid="{00000000-0005-0000-0000-00000F000000}"/>
    <cellStyle name="Normal 3 7" xfId="17" xr:uid="{00000000-0005-0000-0000-000010000000}"/>
    <cellStyle name="Normal 3 8" xfId="18" xr:uid="{00000000-0005-0000-0000-000011000000}"/>
    <cellStyle name="Normal 3 9" xfId="36" xr:uid="{81178E29-A268-4A3A-8CA5-770FBFAE8907}"/>
    <cellStyle name="Normal 4" xfId="19" xr:uid="{00000000-0005-0000-0000-000012000000}"/>
    <cellStyle name="Normal 4 2" xfId="20" xr:uid="{00000000-0005-0000-0000-000013000000}"/>
    <cellStyle name="Normal 43" xfId="37" xr:uid="{399DD460-1CAB-4069-8032-DEB72456F7C7}"/>
    <cellStyle name="Normal 5" xfId="21" xr:uid="{00000000-0005-0000-0000-000014000000}"/>
    <cellStyle name="Normal 5 2" xfId="38" xr:uid="{52F046C3-4AF4-4A8C-8B95-0E09E371806F}"/>
    <cellStyle name="Per cent" xfId="3" builtinId="5"/>
    <cellStyle name="Percent 2" xfId="22" xr:uid="{00000000-0005-0000-0000-000016000000}"/>
    <cellStyle name="Style 2" xfId="39" xr:uid="{F6B41019-64BB-4C6B-98C3-42DFDDED23CA}"/>
    <cellStyle name="Topline" xfId="40" xr:uid="{B31D3892-6C0F-4FBF-A914-CCBF33D9549E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17</xdr:col>
      <xdr:colOff>1</xdr:colOff>
      <xdr:row>11</xdr:row>
      <xdr:rowOff>153267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0"/>
          <a:ext cx="10363200" cy="22487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4"/>
  <sheetViews>
    <sheetView workbookViewId="0">
      <selection activeCell="B18" sqref="B18"/>
    </sheetView>
  </sheetViews>
  <sheetFormatPr baseColWidth="10" defaultColWidth="8.83203125" defaultRowHeight="15"/>
  <cols>
    <col min="2" max="2" width="132.5" customWidth="1"/>
  </cols>
  <sheetData>
    <row r="1" spans="1:2">
      <c r="B1" t="s">
        <v>0</v>
      </c>
    </row>
    <row r="2" spans="1:2">
      <c r="B2" t="s">
        <v>1</v>
      </c>
    </row>
    <row r="3" spans="1:2" ht="19">
      <c r="B3" s="88" t="s">
        <v>119</v>
      </c>
    </row>
    <row r="4" spans="1:2" ht="21">
      <c r="A4" s="87"/>
      <c r="B4" s="107" t="s">
        <v>91</v>
      </c>
    </row>
    <row r="5" spans="1:2" ht="16">
      <c r="A5" s="87"/>
      <c r="B5" s="87"/>
    </row>
    <row r="6" spans="1:2" ht="16">
      <c r="A6" s="106" t="s">
        <v>44</v>
      </c>
      <c r="B6" s="87"/>
    </row>
    <row r="7" spans="1:2" ht="16">
      <c r="A7" s="87">
        <v>1</v>
      </c>
      <c r="B7" s="87" t="s">
        <v>97</v>
      </c>
    </row>
    <row r="8" spans="1:2" ht="16">
      <c r="A8" s="87">
        <v>2</v>
      </c>
      <c r="B8" s="87" t="s">
        <v>98</v>
      </c>
    </row>
    <row r="9" spans="1:2" ht="16">
      <c r="A9" s="87">
        <v>3</v>
      </c>
      <c r="B9" s="87" t="s">
        <v>87</v>
      </c>
    </row>
    <row r="10" spans="1:2" ht="16">
      <c r="A10" s="87">
        <v>4</v>
      </c>
      <c r="B10" s="87" t="s">
        <v>88</v>
      </c>
    </row>
    <row r="11" spans="1:2" ht="16">
      <c r="A11" s="87"/>
      <c r="B11" s="87" t="s">
        <v>85</v>
      </c>
    </row>
    <row r="12" spans="1:2" ht="16">
      <c r="A12" s="87">
        <v>5</v>
      </c>
      <c r="B12" s="87" t="s">
        <v>89</v>
      </c>
    </row>
    <row r="13" spans="1:2" ht="16">
      <c r="A13" s="87"/>
      <c r="B13" s="87" t="s">
        <v>84</v>
      </c>
    </row>
    <row r="14" spans="1:2" ht="16">
      <c r="A14" s="87"/>
      <c r="B14" s="87" t="s">
        <v>86</v>
      </c>
    </row>
    <row r="15" spans="1:2" ht="16">
      <c r="A15" s="87">
        <v>6</v>
      </c>
      <c r="B15" s="87" t="s">
        <v>90</v>
      </c>
    </row>
    <row r="16" spans="1:2" ht="16">
      <c r="A16" s="87">
        <v>7</v>
      </c>
      <c r="B16" s="87" t="s">
        <v>118</v>
      </c>
    </row>
    <row r="17" spans="1:2" ht="16">
      <c r="A17" s="87"/>
      <c r="B17" s="87"/>
    </row>
    <row r="18" spans="1:2" ht="16">
      <c r="A18" s="87"/>
      <c r="B18" s="87"/>
    </row>
    <row r="19" spans="1:2" ht="16">
      <c r="A19" s="87"/>
      <c r="B19" s="87"/>
    </row>
    <row r="20" spans="1:2" ht="16">
      <c r="A20" s="87"/>
      <c r="B20" s="87"/>
    </row>
    <row r="21" spans="1:2" ht="16">
      <c r="A21" s="87"/>
      <c r="B21" s="87"/>
    </row>
    <row r="22" spans="1:2" ht="16">
      <c r="A22" s="87"/>
      <c r="B22" s="87"/>
    </row>
    <row r="23" spans="1:2" ht="16">
      <c r="A23" s="87"/>
      <c r="B23" s="87"/>
    </row>
    <row r="24" spans="1:2" ht="16">
      <c r="A24" s="87"/>
      <c r="B24" s="87"/>
    </row>
    <row r="25" spans="1:2" ht="16">
      <c r="A25" s="87"/>
      <c r="B25" s="87"/>
    </row>
    <row r="26" spans="1:2" ht="16">
      <c r="A26" s="87"/>
      <c r="B26" s="87"/>
    </row>
    <row r="27" spans="1:2" ht="16">
      <c r="A27" s="87"/>
      <c r="B27" s="87"/>
    </row>
    <row r="28" spans="1:2" ht="16">
      <c r="A28" s="87"/>
      <c r="B28" s="87"/>
    </row>
    <row r="29" spans="1:2" ht="16">
      <c r="A29" s="87"/>
      <c r="B29" s="87"/>
    </row>
    <row r="30" spans="1:2" ht="16">
      <c r="A30" s="87"/>
      <c r="B30" s="87"/>
    </row>
    <row r="31" spans="1:2" ht="16">
      <c r="A31" s="87"/>
      <c r="B31" s="87"/>
    </row>
    <row r="32" spans="1:2" ht="16">
      <c r="A32" s="87"/>
      <c r="B32" s="87"/>
    </row>
    <row r="33" spans="1:2" ht="16">
      <c r="A33" s="87"/>
      <c r="B33" s="87"/>
    </row>
    <row r="34" spans="1:2" ht="16">
      <c r="A34" s="87"/>
      <c r="B34" s="87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"/>
  <sheetViews>
    <sheetView workbookViewId="0">
      <selection activeCell="J18" sqref="J18"/>
    </sheetView>
  </sheetViews>
  <sheetFormatPr baseColWidth="10" defaultColWidth="8.83203125" defaultRowHeight="1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24"/>
  <sheetViews>
    <sheetView workbookViewId="0">
      <selection activeCell="B12" sqref="B12"/>
    </sheetView>
  </sheetViews>
  <sheetFormatPr baseColWidth="10" defaultColWidth="9.1640625" defaultRowHeight="15"/>
  <cols>
    <col min="1" max="1" width="5.6640625" customWidth="1"/>
    <col min="2" max="2" width="86.83203125" customWidth="1"/>
    <col min="3" max="3" width="22" customWidth="1"/>
    <col min="4" max="4" width="11.33203125" customWidth="1"/>
  </cols>
  <sheetData>
    <row r="1" spans="1:4">
      <c r="B1" t="s">
        <v>0</v>
      </c>
    </row>
    <row r="2" spans="1:4">
      <c r="B2" t="s">
        <v>1</v>
      </c>
    </row>
    <row r="4" spans="1:4" ht="19">
      <c r="B4" s="88" t="s">
        <v>58</v>
      </c>
    </row>
    <row r="7" spans="1:4" s="88" customFormat="1" ht="19"/>
    <row r="8" spans="1:4" s="88" customFormat="1" ht="19">
      <c r="C8" s="105" t="s">
        <v>44</v>
      </c>
      <c r="D8" s="88" t="s">
        <v>83</v>
      </c>
    </row>
    <row r="9" spans="1:4" s="88" customFormat="1" ht="19">
      <c r="A9" s="104" t="s">
        <v>76</v>
      </c>
      <c r="B9" s="88" t="s">
        <v>103</v>
      </c>
      <c r="C9" s="88" t="s">
        <v>72</v>
      </c>
    </row>
    <row r="10" spans="1:4" s="88" customFormat="1" ht="19">
      <c r="A10" s="104" t="s">
        <v>77</v>
      </c>
      <c r="B10" s="88" t="s">
        <v>114</v>
      </c>
      <c r="C10" s="88" t="s">
        <v>61</v>
      </c>
    </row>
    <row r="11" spans="1:4" s="88" customFormat="1" ht="19">
      <c r="A11" s="104" t="s">
        <v>78</v>
      </c>
      <c r="B11" s="88" t="s">
        <v>115</v>
      </c>
      <c r="C11" s="88" t="s">
        <v>61</v>
      </c>
    </row>
    <row r="12" spans="1:4" s="88" customFormat="1" ht="19">
      <c r="A12" s="104" t="s">
        <v>92</v>
      </c>
      <c r="B12" s="88" t="s">
        <v>79</v>
      </c>
      <c r="C12" s="88" t="s">
        <v>61</v>
      </c>
    </row>
    <row r="13" spans="1:4" s="88" customFormat="1" ht="19">
      <c r="A13" s="104" t="s">
        <v>93</v>
      </c>
      <c r="B13" s="88" t="s">
        <v>116</v>
      </c>
      <c r="C13" s="88" t="s">
        <v>62</v>
      </c>
    </row>
    <row r="14" spans="1:4" s="88" customFormat="1" ht="19">
      <c r="A14" s="104" t="s">
        <v>94</v>
      </c>
      <c r="B14" s="88" t="s">
        <v>117</v>
      </c>
    </row>
    <row r="15" spans="1:4" s="88" customFormat="1" ht="19">
      <c r="A15" s="104"/>
    </row>
    <row r="16" spans="1:4" s="88" customFormat="1" ht="19">
      <c r="A16" s="104"/>
    </row>
    <row r="17" spans="2:2" s="88" customFormat="1" ht="19"/>
    <row r="18" spans="2:2" s="88" customFormat="1" ht="19">
      <c r="B18" s="102" t="s">
        <v>56</v>
      </c>
    </row>
    <row r="19" spans="2:2" s="88" customFormat="1" ht="19">
      <c r="B19" s="103" t="s">
        <v>57</v>
      </c>
    </row>
    <row r="20" spans="2:2" s="88" customFormat="1" ht="19"/>
    <row r="21" spans="2:2" s="88" customFormat="1" ht="19"/>
    <row r="22" spans="2:2" s="88" customFormat="1" ht="19"/>
    <row r="23" spans="2:2" s="88" customFormat="1" ht="19"/>
    <row r="24" spans="2:2" s="88" customFormat="1" ht="19"/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E19"/>
  <sheetViews>
    <sheetView showGridLines="0" topLeftCell="A5" workbookViewId="0">
      <selection activeCell="E17" sqref="E17"/>
    </sheetView>
  </sheetViews>
  <sheetFormatPr baseColWidth="10" defaultColWidth="8.83203125" defaultRowHeight="15"/>
  <cols>
    <col min="1" max="1" width="5.33203125" customWidth="1"/>
    <col min="2" max="2" width="23.5" customWidth="1"/>
    <col min="3" max="3" width="39.83203125" customWidth="1"/>
    <col min="5" max="5" width="20.1640625" customWidth="1"/>
  </cols>
  <sheetData>
    <row r="1" spans="2:5">
      <c r="B1" t="s">
        <v>0</v>
      </c>
    </row>
    <row r="2" spans="2:5">
      <c r="B2" t="s">
        <v>1</v>
      </c>
    </row>
    <row r="4" spans="2:5" ht="16">
      <c r="B4" s="87" t="s">
        <v>66</v>
      </c>
    </row>
    <row r="5" spans="2:5">
      <c r="B5" t="s">
        <v>80</v>
      </c>
    </row>
    <row r="6" spans="2:5">
      <c r="B6" t="s">
        <v>81</v>
      </c>
    </row>
    <row r="8" spans="2:5" ht="32">
      <c r="B8" t="s">
        <v>65</v>
      </c>
      <c r="C8" s="166" t="s">
        <v>145</v>
      </c>
    </row>
    <row r="9" spans="2:5">
      <c r="B9" t="s">
        <v>241</v>
      </c>
      <c r="C9" s="64" t="s">
        <v>252</v>
      </c>
    </row>
    <row r="10" spans="2:5">
      <c r="B10" t="s">
        <v>68</v>
      </c>
      <c r="C10" s="64" t="s">
        <v>146</v>
      </c>
    </row>
    <row r="12" spans="2:5">
      <c r="B12" t="s">
        <v>71</v>
      </c>
    </row>
    <row r="13" spans="2:5" ht="16">
      <c r="B13" s="171" t="s">
        <v>147</v>
      </c>
      <c r="C13" s="166" t="s">
        <v>257</v>
      </c>
      <c r="E13" s="98"/>
    </row>
    <row r="14" spans="2:5" ht="16">
      <c r="B14" s="171" t="s">
        <v>149</v>
      </c>
      <c r="C14" s="166" t="s">
        <v>148</v>
      </c>
    </row>
    <row r="15" spans="2:5" ht="32">
      <c r="B15" s="171" t="s">
        <v>155</v>
      </c>
      <c r="C15" s="166" t="s">
        <v>150</v>
      </c>
    </row>
    <row r="16" spans="2:5" ht="16">
      <c r="B16" s="171" t="s">
        <v>152</v>
      </c>
      <c r="C16" s="166" t="s">
        <v>151</v>
      </c>
    </row>
    <row r="17" spans="2:3" ht="32">
      <c r="B17" s="171" t="s">
        <v>154</v>
      </c>
      <c r="C17" s="166" t="s">
        <v>153</v>
      </c>
    </row>
    <row r="19" spans="2:3" ht="16">
      <c r="B19" s="98" t="s">
        <v>102</v>
      </c>
      <c r="C19" s="128">
        <v>45011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S43"/>
  <sheetViews>
    <sheetView showGridLines="0" workbookViewId="0">
      <selection activeCell="O27" sqref="O27"/>
    </sheetView>
  </sheetViews>
  <sheetFormatPr baseColWidth="10" defaultColWidth="9.1640625" defaultRowHeight="15"/>
  <cols>
    <col min="1" max="1" width="2.83203125" customWidth="1"/>
    <col min="2" max="2" width="29.6640625" customWidth="1"/>
    <col min="3" max="3" width="45.33203125" style="110" customWidth="1"/>
    <col min="4" max="4" width="12.33203125" customWidth="1"/>
    <col min="5" max="8" width="10.6640625" customWidth="1"/>
    <col min="9" max="10" width="11.83203125" customWidth="1"/>
    <col min="11" max="11" width="9.83203125" bestFit="1" customWidth="1"/>
    <col min="12" max="12" width="29.83203125" customWidth="1"/>
    <col min="13" max="13" width="35.83203125" customWidth="1"/>
    <col min="14" max="17" width="12.6640625" bestFit="1" customWidth="1"/>
  </cols>
  <sheetData>
    <row r="1" spans="2:19">
      <c r="B1" t="s">
        <v>0</v>
      </c>
    </row>
    <row r="2" spans="2:19">
      <c r="B2" t="s">
        <v>1</v>
      </c>
    </row>
    <row r="3" spans="2:19" ht="16">
      <c r="B3" s="87" t="s">
        <v>19</v>
      </c>
    </row>
    <row r="5" spans="2:19" ht="50" customHeight="1">
      <c r="B5" s="116" t="s">
        <v>10</v>
      </c>
      <c r="C5" s="117" t="str">
        <f>'2. Standing data'!C8</f>
        <v>North West London Elective Orthopaedic Centre (at CMH)</v>
      </c>
      <c r="D5" s="75"/>
      <c r="F5" t="s">
        <v>104</v>
      </c>
    </row>
    <row r="6" spans="2:19" ht="20" customHeight="1">
      <c r="B6" t="s">
        <v>67</v>
      </c>
      <c r="C6" s="111" t="str">
        <f>'2. Standing data'!C9</f>
        <v>Mark Titcomb</v>
      </c>
      <c r="D6" s="75"/>
      <c r="F6" t="s">
        <v>236</v>
      </c>
    </row>
    <row r="7" spans="2:19" ht="25.25" customHeight="1">
      <c r="B7" t="s">
        <v>68</v>
      </c>
      <c r="C7" s="111" t="str">
        <f>'2. Standing data'!C10</f>
        <v>Wendy Harrowell</v>
      </c>
      <c r="D7" s="75"/>
    </row>
    <row r="8" spans="2:19">
      <c r="B8" t="s">
        <v>102</v>
      </c>
      <c r="C8" s="129">
        <f>'2. Standing data'!C19</f>
        <v>45011</v>
      </c>
    </row>
    <row r="11" spans="2:19" ht="48">
      <c r="B11" s="182" t="s">
        <v>63</v>
      </c>
      <c r="C11" s="183" t="s">
        <v>144</v>
      </c>
      <c r="D11" s="177" t="s">
        <v>232</v>
      </c>
      <c r="E11" s="178" t="s">
        <v>11</v>
      </c>
      <c r="F11" s="178" t="s">
        <v>12</v>
      </c>
      <c r="G11" s="178" t="s">
        <v>13</v>
      </c>
      <c r="H11" s="178" t="s">
        <v>14</v>
      </c>
      <c r="I11" s="179" t="s">
        <v>15</v>
      </c>
      <c r="J11" s="178" t="s">
        <v>34</v>
      </c>
      <c r="L11" s="270" t="s">
        <v>256</v>
      </c>
      <c r="M11" s="268" t="s">
        <v>70</v>
      </c>
      <c r="N11" s="266" t="s">
        <v>21</v>
      </c>
      <c r="O11" s="266" t="s">
        <v>22</v>
      </c>
      <c r="P11" s="266" t="s">
        <v>23</v>
      </c>
      <c r="Q11" s="266" t="s">
        <v>259</v>
      </c>
      <c r="R11" s="266" t="s">
        <v>25</v>
      </c>
      <c r="S11" s="264" t="s">
        <v>34</v>
      </c>
    </row>
    <row r="12" spans="2:19" ht="16">
      <c r="B12" s="248" t="s">
        <v>256</v>
      </c>
      <c r="C12" s="194" t="s">
        <v>70</v>
      </c>
      <c r="D12" s="180"/>
      <c r="E12" s="181" t="s">
        <v>143</v>
      </c>
      <c r="F12" s="181" t="s">
        <v>143</v>
      </c>
      <c r="G12" s="181" t="s">
        <v>143</v>
      </c>
      <c r="H12" s="181" t="s">
        <v>143</v>
      </c>
      <c r="I12" s="181" t="s">
        <v>143</v>
      </c>
      <c r="J12" s="181" t="s">
        <v>143</v>
      </c>
      <c r="L12" s="271"/>
      <c r="M12" s="269"/>
      <c r="N12" s="267" t="s">
        <v>258</v>
      </c>
      <c r="O12" s="267" t="s">
        <v>258</v>
      </c>
      <c r="P12" s="267" t="s">
        <v>258</v>
      </c>
      <c r="Q12" s="267" t="s">
        <v>258</v>
      </c>
      <c r="R12" s="267" t="s">
        <v>258</v>
      </c>
      <c r="S12" s="265" t="s">
        <v>258</v>
      </c>
    </row>
    <row r="13" spans="2:19" ht="35" hidden="1" customHeight="1">
      <c r="B13" s="122" t="s">
        <v>59</v>
      </c>
      <c r="C13" s="123" t="s">
        <v>59</v>
      </c>
      <c r="D13" s="123"/>
      <c r="E13" s="124">
        <f>'4. Revenue'!B63</f>
        <v>0</v>
      </c>
      <c r="F13" s="124">
        <f>E13</f>
        <v>0</v>
      </c>
      <c r="G13" s="124">
        <f t="shared" ref="G13:I13" si="0">F13</f>
        <v>0</v>
      </c>
      <c r="H13" s="124">
        <f t="shared" si="0"/>
        <v>0</v>
      </c>
      <c r="I13" s="125">
        <f t="shared" si="0"/>
        <v>0</v>
      </c>
      <c r="J13" s="124">
        <f>SUM(E13:I13)</f>
        <v>0</v>
      </c>
      <c r="L13" s="255" t="s">
        <v>59</v>
      </c>
      <c r="M13" s="256" t="s">
        <v>59</v>
      </c>
      <c r="N13" s="257">
        <f>'4. Revenue'!L63</f>
        <v>-14783.151302254548</v>
      </c>
      <c r="O13" s="257">
        <f>N13</f>
        <v>-14783.151302254548</v>
      </c>
      <c r="P13" s="257">
        <f t="shared" ref="P13" si="1">O13</f>
        <v>-14783.151302254548</v>
      </c>
      <c r="Q13" s="257">
        <f t="shared" ref="Q13" si="2">P13</f>
        <v>-14783.151302254548</v>
      </c>
      <c r="R13" s="257">
        <f t="shared" ref="R13" si="3">Q13</f>
        <v>-14783.151302254548</v>
      </c>
      <c r="S13" s="258">
        <f>SUM(N13:R13)</f>
        <v>-73915.756511272746</v>
      </c>
    </row>
    <row r="14" spans="2:19" ht="16">
      <c r="B14" s="121" t="str">
        <f>'2. Standing data'!B13</f>
        <v>Option One - Base Case</v>
      </c>
      <c r="C14" s="135" t="str">
        <f>'2. Standing data'!$C$13</f>
        <v xml:space="preserve"> Do Nothing (LNWH)</v>
      </c>
      <c r="D14" s="224">
        <f>'7b. Capital Charges'!B3</f>
        <v>0</v>
      </c>
      <c r="E14" s="173">
        <f>ROUND('4. Revenue'!O63,0)</f>
        <v>2047</v>
      </c>
      <c r="F14" s="174">
        <f>ROUND('4. Revenue'!P63,0)</f>
        <v>2111</v>
      </c>
      <c r="G14" s="174">
        <f>ROUND('4. Revenue'!Q63,0)</f>
        <v>2209</v>
      </c>
      <c r="H14" s="174">
        <f>ROUND('4. Revenue'!R63,0)</f>
        <v>2327</v>
      </c>
      <c r="I14" s="174">
        <f>ROUND('4. Revenue'!S63,0)</f>
        <v>2449</v>
      </c>
      <c r="J14" s="174">
        <f>SUM(E14:I14)</f>
        <v>11143</v>
      </c>
      <c r="L14" s="251" t="str">
        <f t="shared" ref="L14:M18" si="4">B14</f>
        <v>Option One - Base Case</v>
      </c>
      <c r="M14" s="252" t="str">
        <f t="shared" si="4"/>
        <v xml:space="preserve"> Do Nothing (LNWH)</v>
      </c>
      <c r="N14" s="259">
        <f t="shared" ref="N14:S18" si="5">-E14</f>
        <v>-2047</v>
      </c>
      <c r="O14" s="259">
        <f t="shared" si="5"/>
        <v>-2111</v>
      </c>
      <c r="P14" s="259">
        <f t="shared" si="5"/>
        <v>-2209</v>
      </c>
      <c r="Q14" s="259">
        <f t="shared" si="5"/>
        <v>-2327</v>
      </c>
      <c r="R14" s="259">
        <f t="shared" si="5"/>
        <v>-2449</v>
      </c>
      <c r="S14" s="260">
        <f t="shared" si="5"/>
        <v>-11143</v>
      </c>
    </row>
    <row r="15" spans="2:19" ht="16">
      <c r="B15" s="121" t="str">
        <f>'2. Standing data'!B14</f>
        <v>Option Four</v>
      </c>
      <c r="C15" s="135" t="str">
        <f>'2. Standing data'!$C$14</f>
        <v>LNWH DC &amp; IP + NWL Hips &amp; Knees</v>
      </c>
      <c r="D15" s="224">
        <f>'7b. Capital Charges'!C3</f>
        <v>1</v>
      </c>
      <c r="E15" s="174">
        <f>ROUND('4. Revenue'!U63,0)</f>
        <v>1973</v>
      </c>
      <c r="F15" s="173">
        <f>ROUND('4. Revenue'!V63,0)</f>
        <v>-689</v>
      </c>
      <c r="G15" s="174">
        <f>ROUND('4. Revenue'!W63,0)</f>
        <v>-709</v>
      </c>
      <c r="H15" s="174">
        <f>ROUND('4. Revenue'!X63,0)</f>
        <v>-700</v>
      </c>
      <c r="I15" s="174">
        <f>ROUND('4. Revenue'!Y63,0)</f>
        <v>-685</v>
      </c>
      <c r="J15" s="174">
        <f t="shared" ref="J15:J17" si="6">SUM(E15:I15)</f>
        <v>-810</v>
      </c>
      <c r="L15" s="251" t="str">
        <f t="shared" si="4"/>
        <v>Option Four</v>
      </c>
      <c r="M15" s="252" t="str">
        <f t="shared" si="4"/>
        <v>LNWH DC &amp; IP + NWL Hips &amp; Knees</v>
      </c>
      <c r="N15" s="259">
        <f t="shared" si="5"/>
        <v>-1973</v>
      </c>
      <c r="O15" s="259">
        <f t="shared" si="5"/>
        <v>689</v>
      </c>
      <c r="P15" s="259">
        <f t="shared" si="5"/>
        <v>709</v>
      </c>
      <c r="Q15" s="259">
        <f t="shared" si="5"/>
        <v>700</v>
      </c>
      <c r="R15" s="259">
        <f t="shared" si="5"/>
        <v>685</v>
      </c>
      <c r="S15" s="260">
        <f t="shared" si="5"/>
        <v>810</v>
      </c>
    </row>
    <row r="16" spans="2:19" ht="16">
      <c r="B16" s="121" t="str">
        <f>'2. Standing data'!B15</f>
        <v>Option Five - Preferred Option</v>
      </c>
      <c r="C16" s="135" t="str">
        <f>'2. Standing data'!$C$15</f>
        <v xml:space="preserve">LNWH DC &amp; IP + NWL IP </v>
      </c>
      <c r="D16" s="224">
        <f>'7b. Capital Charges'!D3</f>
        <v>2</v>
      </c>
      <c r="E16" s="174">
        <f>ROUND('4. Revenue'!AA63,0)</f>
        <v>-140</v>
      </c>
      <c r="F16" s="174">
        <f>ROUND('4. Revenue'!AB63,0)</f>
        <v>-3968</v>
      </c>
      <c r="G16" s="173">
        <f>ROUND('4. Revenue'!AC63,0)</f>
        <v>-4159</v>
      </c>
      <c r="H16" s="174">
        <f>ROUND('4. Revenue'!AD63,0)</f>
        <v>-4323</v>
      </c>
      <c r="I16" s="174">
        <f>ROUND('4. Revenue'!AE63,0)</f>
        <v>-4464</v>
      </c>
      <c r="J16" s="174">
        <f t="shared" si="6"/>
        <v>-17054</v>
      </c>
      <c r="L16" s="251" t="str">
        <f t="shared" si="4"/>
        <v>Option Five - Preferred Option</v>
      </c>
      <c r="M16" s="252" t="str">
        <f t="shared" si="4"/>
        <v xml:space="preserve">LNWH DC &amp; IP + NWL IP </v>
      </c>
      <c r="N16" s="259">
        <f t="shared" si="5"/>
        <v>140</v>
      </c>
      <c r="O16" s="259">
        <f t="shared" si="5"/>
        <v>3968</v>
      </c>
      <c r="P16" s="259">
        <f t="shared" si="5"/>
        <v>4159</v>
      </c>
      <c r="Q16" s="259">
        <f t="shared" si="5"/>
        <v>4323</v>
      </c>
      <c r="R16" s="259">
        <f t="shared" si="5"/>
        <v>4464</v>
      </c>
      <c r="S16" s="260">
        <f t="shared" si="5"/>
        <v>17054</v>
      </c>
    </row>
    <row r="17" spans="2:19" ht="28.25" customHeight="1">
      <c r="B17" s="121" t="str">
        <f>'2. Standing data'!B16</f>
        <v xml:space="preserve">Option Six </v>
      </c>
      <c r="C17" s="115" t="str">
        <f>'2. Standing data'!C16</f>
        <v xml:space="preserve">LNWH DC &amp; IP + NWL DC &amp; IP </v>
      </c>
      <c r="D17" s="224">
        <f>'7b. Capital Charges'!E3</f>
        <v>4</v>
      </c>
      <c r="E17" s="175">
        <f>ROUND('4. Revenue'!AG63,0)</f>
        <v>2226</v>
      </c>
      <c r="F17" s="175">
        <f>ROUND('4. Revenue'!AH63,0)</f>
        <v>-2210</v>
      </c>
      <c r="G17" s="175">
        <f>ROUND('4. Revenue'!AI63,0)</f>
        <v>-2255</v>
      </c>
      <c r="H17" s="175">
        <f>ROUND('4. Revenue'!AJ63,0)</f>
        <v>-2250</v>
      </c>
      <c r="I17" s="175">
        <f>ROUND('4. Revenue'!AK63,0)</f>
        <v>-2234</v>
      </c>
      <c r="J17" s="175">
        <f t="shared" si="6"/>
        <v>-6723</v>
      </c>
      <c r="L17" s="251" t="str">
        <f t="shared" si="4"/>
        <v xml:space="preserve">Option Six </v>
      </c>
      <c r="M17" s="252" t="str">
        <f t="shared" si="4"/>
        <v xml:space="preserve">LNWH DC &amp; IP + NWL DC &amp; IP </v>
      </c>
      <c r="N17" s="259">
        <f t="shared" si="5"/>
        <v>-2226</v>
      </c>
      <c r="O17" s="259">
        <f t="shared" si="5"/>
        <v>2210</v>
      </c>
      <c r="P17" s="259">
        <f t="shared" si="5"/>
        <v>2255</v>
      </c>
      <c r="Q17" s="259">
        <f t="shared" si="5"/>
        <v>2250</v>
      </c>
      <c r="R17" s="259">
        <f t="shared" si="5"/>
        <v>2234</v>
      </c>
      <c r="S17" s="260">
        <f t="shared" si="5"/>
        <v>6723</v>
      </c>
    </row>
    <row r="18" spans="2:19" ht="29.25" customHeight="1">
      <c r="B18" s="121" t="str">
        <f>'2. Standing data'!B17</f>
        <v>Option Seven</v>
      </c>
      <c r="C18" s="115" t="str">
        <f>'2. Standing data'!C17</f>
        <v xml:space="preserve">LNWH DC &amp; IP + NWL IP &amp; DC + NHS IP &amp; DC Cases Treated Privately </v>
      </c>
      <c r="D18" s="224">
        <f>'7b. Capital Charges'!F3</f>
        <v>5</v>
      </c>
      <c r="E18" s="175">
        <f>'4. Revenue'!AM63</f>
        <v>2105.0972131009221</v>
      </c>
      <c r="F18" s="175">
        <f>'4. Revenue'!AN63</f>
        <v>-1922.3581675816313</v>
      </c>
      <c r="G18" s="175">
        <f>'4. Revenue'!AO63</f>
        <v>-3066.1426262608584</v>
      </c>
      <c r="H18" s="175">
        <f>'4. Revenue'!AP63</f>
        <v>-3084.3344524123459</v>
      </c>
      <c r="I18" s="175">
        <f>'4. Revenue'!AQ63</f>
        <v>-3089.0290471940607</v>
      </c>
      <c r="J18" s="175">
        <f>SUM(E18:I18)</f>
        <v>-9056.7670803479741</v>
      </c>
      <c r="K18" s="170"/>
      <c r="L18" s="253" t="str">
        <f t="shared" si="4"/>
        <v>Option Seven</v>
      </c>
      <c r="M18" s="254" t="str">
        <f t="shared" si="4"/>
        <v xml:space="preserve">LNWH DC &amp; IP + NWL IP &amp; DC + NHS IP &amp; DC Cases Treated Privately </v>
      </c>
      <c r="N18" s="261">
        <f t="shared" si="5"/>
        <v>-2105.0972131009221</v>
      </c>
      <c r="O18" s="261">
        <f t="shared" si="5"/>
        <v>1922.3581675816313</v>
      </c>
      <c r="P18" s="261">
        <f t="shared" si="5"/>
        <v>3066.1426262608584</v>
      </c>
      <c r="Q18" s="261">
        <f t="shared" si="5"/>
        <v>3084.3344524123459</v>
      </c>
      <c r="R18" s="261">
        <f t="shared" si="5"/>
        <v>3089.0290471940607</v>
      </c>
      <c r="S18" s="262">
        <f t="shared" si="5"/>
        <v>9056.7670803479741</v>
      </c>
    </row>
    <row r="19" spans="2:19">
      <c r="B19" s="97"/>
      <c r="C19" s="98"/>
      <c r="D19" s="126"/>
      <c r="E19" s="126"/>
      <c r="F19" s="126"/>
      <c r="G19" s="126"/>
      <c r="H19" s="126"/>
      <c r="I19" s="126"/>
    </row>
    <row r="20" spans="2:19">
      <c r="B20" s="97"/>
      <c r="C20" s="98"/>
    </row>
    <row r="21" spans="2:19">
      <c r="B21" s="97"/>
      <c r="C21" s="98"/>
    </row>
    <row r="22" spans="2:19">
      <c r="B22" s="182" t="s">
        <v>100</v>
      </c>
      <c r="C22" s="183"/>
      <c r="D22" s="178" t="s">
        <v>11</v>
      </c>
      <c r="E22" s="178" t="s">
        <v>12</v>
      </c>
      <c r="F22" s="178" t="s">
        <v>13</v>
      </c>
      <c r="G22" s="178" t="s">
        <v>14</v>
      </c>
      <c r="H22" s="179" t="s">
        <v>15</v>
      </c>
      <c r="I22" s="178" t="s">
        <v>34</v>
      </c>
      <c r="L22" s="270" t="s">
        <v>256</v>
      </c>
      <c r="M22" s="268" t="s">
        <v>70</v>
      </c>
      <c r="N22" s="264" t="s">
        <v>34</v>
      </c>
    </row>
    <row r="23" spans="2:19" ht="16">
      <c r="B23" s="184"/>
      <c r="C23" s="185" t="s">
        <v>70</v>
      </c>
      <c r="D23" s="181" t="s">
        <v>143</v>
      </c>
      <c r="E23" s="181" t="s">
        <v>143</v>
      </c>
      <c r="F23" s="181" t="s">
        <v>143</v>
      </c>
      <c r="G23" s="181" t="s">
        <v>143</v>
      </c>
      <c r="H23" s="181" t="s">
        <v>143</v>
      </c>
      <c r="I23" s="181" t="s">
        <v>143</v>
      </c>
      <c r="L23" s="271"/>
      <c r="M23" s="269"/>
      <c r="N23" s="265" t="s">
        <v>258</v>
      </c>
    </row>
    <row r="24" spans="2:19" s="134" customFormat="1" ht="16">
      <c r="B24" s="176" t="str">
        <f>B14</f>
        <v>Option One - Base Case</v>
      </c>
      <c r="C24" s="135" t="str">
        <f>'2. Standing data'!$C$13</f>
        <v xml:space="preserve"> Do Nothing (LNWH)</v>
      </c>
      <c r="D24" s="136">
        <f>'5. Capital'!F21</f>
        <v>0</v>
      </c>
      <c r="E24" s="136"/>
      <c r="F24" s="136"/>
      <c r="G24" s="136"/>
      <c r="H24" s="136"/>
      <c r="I24" s="137">
        <f t="shared" ref="I24:I25" si="7">SUM(D24:H24)</f>
        <v>0</v>
      </c>
      <c r="J24" s="236" t="e">
        <f>D34/I24</f>
        <v>#DIV/0!</v>
      </c>
      <c r="L24" s="249" t="str">
        <f>L14</f>
        <v>Option One - Base Case</v>
      </c>
      <c r="M24" s="250" t="str">
        <f>M14</f>
        <v xml:space="preserve"> Do Nothing (LNWH)</v>
      </c>
      <c r="N24" s="263">
        <f>-I24</f>
        <v>0</v>
      </c>
    </row>
    <row r="25" spans="2:19" s="134" customFormat="1" ht="16">
      <c r="B25" s="176" t="str">
        <f t="shared" ref="B25:B26" si="8">B15</f>
        <v>Option Four</v>
      </c>
      <c r="C25" s="135" t="str">
        <f>'2. Standing data'!$C$14</f>
        <v>LNWH DC &amp; IP + NWL Hips &amp; Knees</v>
      </c>
      <c r="D25" s="136">
        <f>'5. Capital'!F35</f>
        <v>4994.6148660000008</v>
      </c>
      <c r="E25" s="136"/>
      <c r="F25" s="136"/>
      <c r="G25" s="136"/>
      <c r="H25" s="136"/>
      <c r="I25" s="137">
        <f t="shared" si="7"/>
        <v>4994.6148660000008</v>
      </c>
      <c r="J25" s="236">
        <f t="shared" ref="J25:J28" si="9">D35/I25</f>
        <v>0.6036501473865592</v>
      </c>
      <c r="L25" s="251" t="str">
        <f t="shared" ref="L25:M25" si="10">L15</f>
        <v>Option Four</v>
      </c>
      <c r="M25" s="252" t="str">
        <f t="shared" si="10"/>
        <v>LNWH DC &amp; IP + NWL Hips &amp; Knees</v>
      </c>
      <c r="N25" s="260">
        <f>-I25</f>
        <v>-4994.6148660000008</v>
      </c>
    </row>
    <row r="26" spans="2:19" s="134" customFormat="1" ht="30" customHeight="1">
      <c r="B26" s="176" t="str">
        <f t="shared" si="8"/>
        <v>Option Five - Preferred Option</v>
      </c>
      <c r="C26" s="135" t="str">
        <f>'2. Standing data'!$C$15</f>
        <v xml:space="preserve">LNWH DC &amp; IP + NWL IP </v>
      </c>
      <c r="D26" s="136">
        <f>'5. Capital'!F49</f>
        <v>9412.0297320000009</v>
      </c>
      <c r="E26" s="138"/>
      <c r="F26" s="138"/>
      <c r="G26" s="138"/>
      <c r="H26" s="138"/>
      <c r="I26" s="139">
        <f>SUM(D26:H26)</f>
        <v>9412.0297320000009</v>
      </c>
      <c r="J26" s="236">
        <f t="shared" si="9"/>
        <v>3.7728312607502072</v>
      </c>
      <c r="L26" s="251" t="str">
        <f t="shared" ref="L26:M26" si="11">L16</f>
        <v>Option Five - Preferred Option</v>
      </c>
      <c r="M26" s="252" t="str">
        <f t="shared" si="11"/>
        <v xml:space="preserve">LNWH DC &amp; IP + NWL IP </v>
      </c>
      <c r="N26" s="260">
        <f>-I26</f>
        <v>-9412.0297320000009</v>
      </c>
    </row>
    <row r="27" spans="2:19" s="134" customFormat="1" ht="16">
      <c r="B27" s="176" t="str">
        <f>'2. Standing data'!B16</f>
        <v xml:space="preserve">Option Six </v>
      </c>
      <c r="C27" s="135" t="str">
        <f>'2. Standing data'!C16</f>
        <v xml:space="preserve">LNWH DC &amp; IP + NWL DC &amp; IP </v>
      </c>
      <c r="D27" s="136">
        <f>'5. Capital'!F64</f>
        <v>18246.859464000001</v>
      </c>
      <c r="E27" s="138"/>
      <c r="F27" s="138"/>
      <c r="G27" s="138"/>
      <c r="H27" s="138"/>
      <c r="I27" s="139">
        <f>SUM(D27:H27)</f>
        <v>18246.859464000001</v>
      </c>
      <c r="J27" s="236">
        <f t="shared" si="9"/>
        <v>1.1799838784575185</v>
      </c>
      <c r="L27" s="251" t="str">
        <f t="shared" ref="L27:M27" si="12">L17</f>
        <v xml:space="preserve">Option Six </v>
      </c>
      <c r="M27" s="252" t="str">
        <f t="shared" si="12"/>
        <v xml:space="preserve">LNWH DC &amp; IP + NWL DC &amp; IP </v>
      </c>
      <c r="N27" s="260">
        <f>-I27</f>
        <v>-18246.859464000001</v>
      </c>
    </row>
    <row r="28" spans="2:19" s="134" customFormat="1" ht="32">
      <c r="B28" s="176" t="str">
        <f>'2. Standing data'!B17</f>
        <v>Option Seven</v>
      </c>
      <c r="C28" s="135" t="str">
        <f>'2. Standing data'!C17</f>
        <v xml:space="preserve">LNWH DC &amp; IP + NWL IP &amp; DC + NHS IP &amp; DC Cases Treated Privately </v>
      </c>
      <c r="D28" s="136">
        <f>'5. Capital'!F78</f>
        <v>22664.274330000004</v>
      </c>
      <c r="E28" s="138"/>
      <c r="F28" s="138"/>
      <c r="G28" s="138"/>
      <c r="H28" s="138"/>
      <c r="I28" s="139">
        <f>SUM(D28:H28)</f>
        <v>22664.274330000004</v>
      </c>
      <c r="J28" s="236">
        <f t="shared" si="9"/>
        <v>0.86520311799066707</v>
      </c>
      <c r="L28" s="253" t="str">
        <f t="shared" ref="L28:M28" si="13">L18</f>
        <v>Option Seven</v>
      </c>
      <c r="M28" s="254" t="str">
        <f t="shared" si="13"/>
        <v xml:space="preserve">LNWH DC &amp; IP + NWL IP &amp; DC + NHS IP &amp; DC Cases Treated Privately </v>
      </c>
      <c r="N28" s="262">
        <f>-I28</f>
        <v>-22664.274330000004</v>
      </c>
    </row>
    <row r="29" spans="2:19" ht="11.75" customHeight="1">
      <c r="B29" s="97"/>
      <c r="C29" s="98"/>
      <c r="J29" s="237"/>
      <c r="L29" s="237">
        <f t="shared" ref="L29:M29" si="14">L19</f>
        <v>0</v>
      </c>
      <c r="M29" s="237">
        <f t="shared" si="14"/>
        <v>0</v>
      </c>
    </row>
    <row r="30" spans="2:19">
      <c r="B30" s="97"/>
      <c r="C30" s="98"/>
    </row>
    <row r="31" spans="2:19">
      <c r="B31" s="97"/>
      <c r="C31" s="98"/>
      <c r="D31" s="47"/>
      <c r="E31" s="47"/>
      <c r="F31" s="47"/>
      <c r="G31" s="47"/>
      <c r="H31" s="47"/>
    </row>
    <row r="32" spans="2:19">
      <c r="B32" s="186" t="s">
        <v>49</v>
      </c>
      <c r="C32" s="188"/>
      <c r="D32" s="178" t="s">
        <v>237</v>
      </c>
      <c r="E32" s="48"/>
      <c r="F32" s="48"/>
      <c r="G32" s="48"/>
      <c r="H32" s="48"/>
      <c r="L32" s="270" t="s">
        <v>256</v>
      </c>
      <c r="M32" s="268" t="s">
        <v>70</v>
      </c>
      <c r="N32" s="264" t="s">
        <v>34</v>
      </c>
    </row>
    <row r="33" spans="2:14" ht="16">
      <c r="B33" s="187" t="s">
        <v>69</v>
      </c>
      <c r="C33" s="195" t="s">
        <v>70</v>
      </c>
      <c r="D33" s="181" t="s">
        <v>143</v>
      </c>
      <c r="E33" s="48"/>
      <c r="F33" s="48"/>
      <c r="G33" s="48"/>
      <c r="H33" s="48"/>
      <c r="L33" s="271"/>
      <c r="M33" s="269"/>
      <c r="N33" s="265" t="s">
        <v>258</v>
      </c>
    </row>
    <row r="34" spans="2:14" ht="16">
      <c r="B34" s="119" t="str">
        <f>B24</f>
        <v>Option One - Base Case</v>
      </c>
      <c r="C34" s="189" t="str">
        <f>'2. Standing data'!$C$13</f>
        <v xml:space="preserve"> Do Nothing (LNWH)</v>
      </c>
      <c r="D34" s="191">
        <f>ROUND('6. Economic (DCF)'!AC18,0)</f>
        <v>-23474</v>
      </c>
      <c r="E34" s="193" t="str">
        <f>IF(D34&lt;0,"Negative NPV","Postive NPV")</f>
        <v>Negative NPV</v>
      </c>
      <c r="L34" s="249" t="str">
        <f>L24</f>
        <v>Option One - Base Case</v>
      </c>
      <c r="M34" s="250" t="str">
        <f>M24</f>
        <v xml:space="preserve"> Do Nothing (LNWH)</v>
      </c>
      <c r="N34" s="263">
        <f>D34</f>
        <v>-23474</v>
      </c>
    </row>
    <row r="35" spans="2:14" ht="16">
      <c r="B35" s="119" t="str">
        <f>B25</f>
        <v>Option Four</v>
      </c>
      <c r="C35" s="189" t="str">
        <f>'2. Standing data'!$C$14</f>
        <v>LNWH DC &amp; IP + NWL Hips &amp; Knees</v>
      </c>
      <c r="D35" s="191">
        <f>ROUND('6. Economic (DCF)'!AC28,0)</f>
        <v>3015</v>
      </c>
      <c r="E35" s="193" t="str">
        <f t="shared" ref="E35:E37" si="15">IF(D35&lt;0,"Negative NPV","Postive NPV")</f>
        <v>Postive NPV</v>
      </c>
      <c r="L35" s="251" t="str">
        <f t="shared" ref="L35:M35" si="16">L25</f>
        <v>Option Four</v>
      </c>
      <c r="M35" s="252" t="str">
        <f t="shared" si="16"/>
        <v>LNWH DC &amp; IP + NWL Hips &amp; Knees</v>
      </c>
      <c r="N35" s="260">
        <f>D35</f>
        <v>3015</v>
      </c>
    </row>
    <row r="36" spans="2:14" ht="16">
      <c r="B36" s="119" t="str">
        <f t="shared" ref="B36" si="17">B26</f>
        <v>Option Five - Preferred Option</v>
      </c>
      <c r="C36" s="189" t="str">
        <f>'2. Standing data'!$C$15</f>
        <v xml:space="preserve">LNWH DC &amp; IP + NWL IP </v>
      </c>
      <c r="D36" s="191">
        <f>ROUND('6. Economic (DCF)'!AC38,0)</f>
        <v>35510</v>
      </c>
      <c r="E36" s="193" t="str">
        <f t="shared" si="15"/>
        <v>Postive NPV</v>
      </c>
      <c r="L36" s="251" t="str">
        <f t="shared" ref="L36:M36" si="18">L26</f>
        <v>Option Five - Preferred Option</v>
      </c>
      <c r="M36" s="252" t="str">
        <f t="shared" si="18"/>
        <v xml:space="preserve">LNWH DC &amp; IP + NWL IP </v>
      </c>
      <c r="N36" s="260">
        <f>D36</f>
        <v>35510</v>
      </c>
    </row>
    <row r="37" spans="2:14" ht="16">
      <c r="B37" s="119" t="str">
        <f>'2. Standing data'!B16</f>
        <v xml:space="preserve">Option Six </v>
      </c>
      <c r="C37" s="190" t="str">
        <f>'2. Standing data'!C16</f>
        <v xml:space="preserve">LNWH DC &amp; IP + NWL DC &amp; IP </v>
      </c>
      <c r="D37" s="192">
        <f>ROUND('6. Economic (DCF)'!AC48,0)</f>
        <v>21531</v>
      </c>
      <c r="E37" s="193" t="str">
        <f t="shared" si="15"/>
        <v>Postive NPV</v>
      </c>
      <c r="L37" s="251" t="str">
        <f t="shared" ref="L37:M37" si="19">L27</f>
        <v xml:space="preserve">Option Six </v>
      </c>
      <c r="M37" s="252" t="str">
        <f t="shared" si="19"/>
        <v xml:space="preserve">LNWH DC &amp; IP + NWL DC &amp; IP </v>
      </c>
      <c r="N37" s="260">
        <f>D37</f>
        <v>21531</v>
      </c>
    </row>
    <row r="38" spans="2:14" ht="36" customHeight="1">
      <c r="B38" s="119" t="str">
        <f>'2. Standing data'!B17</f>
        <v>Option Seven</v>
      </c>
      <c r="C38" s="140" t="str">
        <f>'2. Standing data'!C17</f>
        <v xml:space="preserve">LNWH DC &amp; IP + NWL IP &amp; DC + NHS IP &amp; DC Cases Treated Privately </v>
      </c>
      <c r="D38" s="192">
        <f>'6. Economic (DCF)'!AC58</f>
        <v>19609.200817311841</v>
      </c>
      <c r="E38" s="109"/>
      <c r="L38" s="253" t="str">
        <f t="shared" ref="L38:M38" si="20">L28</f>
        <v>Option Seven</v>
      </c>
      <c r="M38" s="254" t="str">
        <f t="shared" si="20"/>
        <v xml:space="preserve">LNWH DC &amp; IP + NWL IP &amp; DC + NHS IP &amp; DC Cases Treated Privately </v>
      </c>
      <c r="N38" s="262">
        <f>D38</f>
        <v>19609.200817311841</v>
      </c>
    </row>
    <row r="39" spans="2:14" ht="59" customHeight="1"/>
    <row r="40" spans="2:14" ht="59" customHeight="1"/>
    <row r="41" spans="2:14" ht="59" customHeight="1"/>
    <row r="42" spans="2:14" ht="59" customHeight="1"/>
    <row r="43" spans="2:14" ht="59" customHeight="1"/>
  </sheetData>
  <mergeCells count="6">
    <mergeCell ref="M11:M12"/>
    <mergeCell ref="L11:L12"/>
    <mergeCell ref="L22:L23"/>
    <mergeCell ref="M22:M23"/>
    <mergeCell ref="L32:L33"/>
    <mergeCell ref="M32:M33"/>
  </mergeCells>
  <pageMargins left="0.70866141732283472" right="0.70866141732283472" top="0.74803149606299213" bottom="0.74803149606299213" header="0.31496062992125984" footer="0.31496062992125984"/>
  <pageSetup paperSize="9" scale="57" orientation="portrait" r:id="rId1"/>
  <ignoredErrors>
    <ignoredError sqref="J24" evalError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Q84"/>
  <sheetViews>
    <sheetView workbookViewId="0">
      <pane xSplit="1" ySplit="10" topLeftCell="Q65" activePane="bottomRight" state="frozen"/>
      <selection pane="topRight" activeCell="B1" sqref="B1"/>
      <selection pane="bottomLeft" activeCell="A8" sqref="A8"/>
      <selection pane="bottomRight" activeCell="Q77" sqref="Q77"/>
    </sheetView>
  </sheetViews>
  <sheetFormatPr baseColWidth="10" defaultColWidth="9.1640625" defaultRowHeight="14"/>
  <cols>
    <col min="1" max="1" width="51" style="1" customWidth="1"/>
    <col min="2" max="2" width="11.6640625" style="76" customWidth="1"/>
    <col min="3" max="3" width="9" style="1" customWidth="1"/>
    <col min="4" max="8" width="10.5" style="1" customWidth="1"/>
    <col min="9" max="13" width="11.6640625" style="1" customWidth="1"/>
    <col min="14" max="14" width="2.6640625" style="1" customWidth="1"/>
    <col min="15" max="19" width="11.6640625" style="1" customWidth="1"/>
    <col min="20" max="20" width="2.5" style="1" customWidth="1"/>
    <col min="21" max="25" width="11.6640625" style="1" customWidth="1"/>
    <col min="26" max="26" width="2.33203125" style="1" customWidth="1"/>
    <col min="27" max="27" width="13" style="1" customWidth="1"/>
    <col min="28" max="31" width="11.6640625" style="1" customWidth="1"/>
    <col min="32" max="32" width="3.1640625" style="1" customWidth="1"/>
    <col min="33" max="37" width="11.6640625" style="1" customWidth="1"/>
    <col min="38" max="38" width="2.6640625" style="1" customWidth="1"/>
    <col min="39" max="44" width="11.6640625" style="1" customWidth="1"/>
    <col min="45" max="45" width="9.83203125" style="1" bestFit="1" customWidth="1"/>
    <col min="46" max="16384" width="9.1640625" style="1"/>
  </cols>
  <sheetData>
    <row r="1" spans="1:43">
      <c r="A1" s="1" t="s">
        <v>0</v>
      </c>
    </row>
    <row r="2" spans="1:43">
      <c r="A2" s="1" t="s">
        <v>1</v>
      </c>
    </row>
    <row r="3" spans="1:43">
      <c r="A3" s="1" t="s">
        <v>20</v>
      </c>
      <c r="U3" s="168"/>
      <c r="V3" s="71"/>
    </row>
    <row r="4" spans="1:43" ht="16">
      <c r="A4" s="1" t="s">
        <v>10</v>
      </c>
      <c r="C4" s="141"/>
      <c r="D4" s="100" t="str">
        <f>'3. Summary'!$C$5</f>
        <v>North West London Elective Orthopaedic Centre (at CMH)</v>
      </c>
      <c r="E4" s="112"/>
      <c r="F4" s="112"/>
      <c r="G4" s="112"/>
      <c r="H4" s="112"/>
      <c r="I4" s="63"/>
    </row>
    <row r="5" spans="1:43" ht="16">
      <c r="A5" s="225">
        <f>'2. Standing data'!C19</f>
        <v>45011</v>
      </c>
      <c r="E5" s="87"/>
      <c r="F5" s="87"/>
      <c r="G5" s="87"/>
      <c r="H5" s="87"/>
    </row>
    <row r="6" spans="1:43" ht="15" thickBot="1">
      <c r="D6" s="44" t="s">
        <v>56</v>
      </c>
      <c r="E6" s="44"/>
      <c r="F6" s="44"/>
      <c r="G6" s="44"/>
      <c r="H6" s="44"/>
    </row>
    <row r="7" spans="1:43" ht="15" thickBot="1">
      <c r="I7" s="274" t="s">
        <v>245</v>
      </c>
      <c r="J7" s="275"/>
      <c r="K7" s="275"/>
      <c r="L7" s="275"/>
      <c r="M7" s="276"/>
      <c r="O7" s="46" t="s">
        <v>60</v>
      </c>
      <c r="P7" s="44"/>
      <c r="Q7" s="44"/>
      <c r="R7" s="44"/>
    </row>
    <row r="8" spans="1:43" ht="40.5" customHeight="1">
      <c r="A8" s="8"/>
      <c r="C8" s="10"/>
      <c r="D8" s="9"/>
      <c r="E8" s="9"/>
      <c r="F8" s="9"/>
      <c r="G8" s="9"/>
      <c r="H8" s="9"/>
      <c r="I8" s="232" t="str">
        <f>'3. Summary'!B14</f>
        <v>Option One - Base Case</v>
      </c>
      <c r="J8" s="233" t="str">
        <f>'3. Summary'!B15</f>
        <v>Option Four</v>
      </c>
      <c r="K8" s="233" t="str">
        <f>'3. Summary'!B16</f>
        <v>Option Five - Preferred Option</v>
      </c>
      <c r="L8" s="233" t="str">
        <f>'3. Summary'!B17</f>
        <v xml:space="preserve">Option Six </v>
      </c>
      <c r="M8" s="232" t="str">
        <f>'3. Summary'!B18</f>
        <v>Option Seven</v>
      </c>
      <c r="N8" s="12"/>
      <c r="O8" s="36" t="str">
        <f>I8</f>
        <v>Option One - Base Case</v>
      </c>
      <c r="P8" s="36" t="str">
        <f>O8</f>
        <v>Option One - Base Case</v>
      </c>
      <c r="Q8" s="36" t="str">
        <f t="shared" ref="Q8:S8" si="0">P8</f>
        <v>Option One - Base Case</v>
      </c>
      <c r="R8" s="36" t="str">
        <f t="shared" si="0"/>
        <v>Option One - Base Case</v>
      </c>
      <c r="S8" s="36" t="str">
        <f t="shared" si="0"/>
        <v>Option One - Base Case</v>
      </c>
      <c r="T8" s="12"/>
      <c r="U8" s="35" t="str">
        <f>J8</f>
        <v>Option Four</v>
      </c>
      <c r="V8" s="36" t="str">
        <f>U8</f>
        <v>Option Four</v>
      </c>
      <c r="W8" s="36" t="str">
        <f t="shared" ref="W8:Y8" si="1">V8</f>
        <v>Option Four</v>
      </c>
      <c r="X8" s="36" t="str">
        <f t="shared" si="1"/>
        <v>Option Four</v>
      </c>
      <c r="Y8" s="36" t="str">
        <f t="shared" si="1"/>
        <v>Option Four</v>
      </c>
      <c r="Z8" s="26"/>
      <c r="AA8" s="32" t="str">
        <f>K8</f>
        <v>Option Five - Preferred Option</v>
      </c>
      <c r="AB8" s="36" t="str">
        <f>AA8</f>
        <v>Option Five - Preferred Option</v>
      </c>
      <c r="AC8" s="36" t="str">
        <f t="shared" ref="AC8:AE8" si="2">AB8</f>
        <v>Option Five - Preferred Option</v>
      </c>
      <c r="AD8" s="36" t="str">
        <f t="shared" si="2"/>
        <v>Option Five - Preferred Option</v>
      </c>
      <c r="AE8" s="36" t="str">
        <f t="shared" si="2"/>
        <v>Option Five - Preferred Option</v>
      </c>
      <c r="AF8" s="26"/>
      <c r="AG8" s="32" t="str">
        <f>L8</f>
        <v xml:space="preserve">Option Six </v>
      </c>
      <c r="AH8" s="36" t="str">
        <f>AG8</f>
        <v xml:space="preserve">Option Six </v>
      </c>
      <c r="AI8" s="36" t="str">
        <f t="shared" ref="AI8:AK8" si="3">AH8</f>
        <v xml:space="preserve">Option Six </v>
      </c>
      <c r="AJ8" s="36" t="str">
        <f t="shared" si="3"/>
        <v xml:space="preserve">Option Six </v>
      </c>
      <c r="AK8" s="36" t="str">
        <f t="shared" si="3"/>
        <v xml:space="preserve">Option Six </v>
      </c>
      <c r="AL8" s="26"/>
      <c r="AM8" s="33" t="str">
        <f>M8</f>
        <v>Option Seven</v>
      </c>
      <c r="AN8" s="36" t="str">
        <f>AM8</f>
        <v>Option Seven</v>
      </c>
      <c r="AO8" s="36" t="str">
        <f t="shared" ref="AO8:AQ8" si="4">AN8</f>
        <v>Option Seven</v>
      </c>
      <c r="AP8" s="36" t="str">
        <f t="shared" si="4"/>
        <v>Option Seven</v>
      </c>
      <c r="AQ8" s="36" t="str">
        <f t="shared" si="4"/>
        <v>Option Seven</v>
      </c>
    </row>
    <row r="9" spans="1:43" s="71" customFormat="1" ht="40.25" hidden="1" customHeight="1">
      <c r="A9" s="65"/>
      <c r="B9" s="82" t="s">
        <v>42</v>
      </c>
      <c r="C9" s="68"/>
      <c r="D9" s="66"/>
      <c r="E9" s="66"/>
      <c r="F9" s="66"/>
      <c r="G9" s="66"/>
      <c r="H9" s="66"/>
      <c r="I9" s="67" t="str">
        <f>'2. Standing data'!$C$13</f>
        <v xml:space="preserve"> Do Nothing (LNWH)</v>
      </c>
      <c r="J9" s="67" t="str">
        <f>'2. Standing data'!$C$14</f>
        <v>LNWH DC &amp; IP + NWL Hips &amp; Knees</v>
      </c>
      <c r="K9" s="67" t="str">
        <f>'2. Standing data'!$C$15</f>
        <v xml:space="preserve">LNWH DC &amp; IP + NWL IP </v>
      </c>
      <c r="L9" s="67" t="str">
        <f>'2. Standing data'!$C$16</f>
        <v xml:space="preserve">LNWH DC &amp; IP + NWL DC &amp; IP </v>
      </c>
      <c r="M9" s="67" t="str">
        <f>'2. Standing data'!$C$17</f>
        <v xml:space="preserve">LNWH DC &amp; IP + NWL IP &amp; DC + NHS IP &amp; DC Cases Treated Privately </v>
      </c>
      <c r="N9" s="69"/>
      <c r="O9" s="67" t="str">
        <f>'2. Standing data'!$C$13</f>
        <v xml:space="preserve"> Do Nothing (LNWH)</v>
      </c>
      <c r="P9" s="67" t="str">
        <f>'2. Standing data'!$C$13</f>
        <v xml:space="preserve"> Do Nothing (LNWH)</v>
      </c>
      <c r="Q9" s="67" t="str">
        <f>'2. Standing data'!$C$13</f>
        <v xml:space="preserve"> Do Nothing (LNWH)</v>
      </c>
      <c r="R9" s="67" t="str">
        <f>'2. Standing data'!$C$13</f>
        <v xml:space="preserve"> Do Nothing (LNWH)</v>
      </c>
      <c r="S9" s="67" t="str">
        <f>'2. Standing data'!$C$13</f>
        <v xml:space="preserve"> Do Nothing (LNWH)</v>
      </c>
      <c r="T9" s="69"/>
      <c r="U9" s="67" t="str">
        <f>'2. Standing data'!$C$14</f>
        <v>LNWH DC &amp; IP + NWL Hips &amp; Knees</v>
      </c>
      <c r="V9" s="67" t="str">
        <f>'2. Standing data'!$C$14</f>
        <v>LNWH DC &amp; IP + NWL Hips &amp; Knees</v>
      </c>
      <c r="W9" s="67" t="str">
        <f>'2. Standing data'!$C$14</f>
        <v>LNWH DC &amp; IP + NWL Hips &amp; Knees</v>
      </c>
      <c r="X9" s="67" t="str">
        <f>'2. Standing data'!$C$14</f>
        <v>LNWH DC &amp; IP + NWL Hips &amp; Knees</v>
      </c>
      <c r="Y9" s="67" t="str">
        <f>'2. Standing data'!$C$14</f>
        <v>LNWH DC &amp; IP + NWL Hips &amp; Knees</v>
      </c>
      <c r="Z9" s="70"/>
      <c r="AA9" s="67" t="str">
        <f>'2. Standing data'!$C$15</f>
        <v xml:space="preserve">LNWH DC &amp; IP + NWL IP </v>
      </c>
      <c r="AB9" s="67" t="str">
        <f>'2. Standing data'!$C$15</f>
        <v xml:space="preserve">LNWH DC &amp; IP + NWL IP </v>
      </c>
      <c r="AC9" s="67" t="str">
        <f>'2. Standing data'!$C$15</f>
        <v xml:space="preserve">LNWH DC &amp; IP + NWL IP </v>
      </c>
      <c r="AD9" s="67" t="str">
        <f>'2. Standing data'!$C$15</f>
        <v xml:space="preserve">LNWH DC &amp; IP + NWL IP </v>
      </c>
      <c r="AE9" s="67" t="str">
        <f>'2. Standing data'!$C$15</f>
        <v xml:space="preserve">LNWH DC &amp; IP + NWL IP </v>
      </c>
      <c r="AF9" s="70"/>
      <c r="AG9" s="67" t="str">
        <f>'2. Standing data'!$C$16</f>
        <v xml:space="preserve">LNWH DC &amp; IP + NWL DC &amp; IP </v>
      </c>
      <c r="AH9" s="67" t="str">
        <f>'2. Standing data'!$C$16</f>
        <v xml:space="preserve">LNWH DC &amp; IP + NWL DC &amp; IP </v>
      </c>
      <c r="AI9" s="67" t="str">
        <f>'2. Standing data'!$C$16</f>
        <v xml:space="preserve">LNWH DC &amp; IP + NWL DC &amp; IP </v>
      </c>
      <c r="AJ9" s="67" t="str">
        <f>'2. Standing data'!$C$16</f>
        <v xml:space="preserve">LNWH DC &amp; IP + NWL DC &amp; IP </v>
      </c>
      <c r="AK9" s="67" t="str">
        <f>'2. Standing data'!$C$16</f>
        <v xml:space="preserve">LNWH DC &amp; IP + NWL DC &amp; IP </v>
      </c>
      <c r="AL9" s="70"/>
      <c r="AM9" s="67" t="str">
        <f>'2. Standing data'!$C$17</f>
        <v xml:space="preserve">LNWH DC &amp; IP + NWL IP &amp; DC + NHS IP &amp; DC Cases Treated Privately </v>
      </c>
      <c r="AN9" s="67" t="str">
        <f>'2. Standing data'!$C$17</f>
        <v xml:space="preserve">LNWH DC &amp; IP + NWL IP &amp; DC + NHS IP &amp; DC Cases Treated Privately </v>
      </c>
      <c r="AO9" s="67" t="str">
        <f>'2. Standing data'!$C$17</f>
        <v xml:space="preserve">LNWH DC &amp; IP + NWL IP &amp; DC + NHS IP &amp; DC Cases Treated Privately </v>
      </c>
      <c r="AP9" s="67" t="str">
        <f>'2. Standing data'!$C$17</f>
        <v xml:space="preserve">LNWH DC &amp; IP + NWL IP &amp; DC + NHS IP &amp; DC Cases Treated Privately </v>
      </c>
      <c r="AQ9" s="67" t="str">
        <f>'2. Standing data'!$C$17</f>
        <v xml:space="preserve">LNWH DC &amp; IP + NWL IP &amp; DC + NHS IP &amp; DC Cases Treated Privately </v>
      </c>
    </row>
    <row r="10" spans="1:43" ht="18" customHeight="1">
      <c r="A10" s="8"/>
      <c r="B10" s="83" t="s">
        <v>26</v>
      </c>
      <c r="C10" s="10" t="s">
        <v>99</v>
      </c>
      <c r="D10" s="9"/>
      <c r="E10" s="9"/>
      <c r="F10" s="9"/>
      <c r="G10" s="9"/>
      <c r="H10" s="9"/>
      <c r="I10" s="34" t="s">
        <v>26</v>
      </c>
      <c r="J10" s="34" t="s">
        <v>26</v>
      </c>
      <c r="K10" s="34" t="s">
        <v>26</v>
      </c>
      <c r="L10" s="34" t="s">
        <v>26</v>
      </c>
      <c r="M10" s="34" t="s">
        <v>26</v>
      </c>
      <c r="N10" s="11"/>
      <c r="O10" s="34" t="s">
        <v>26</v>
      </c>
      <c r="P10" s="34" t="s">
        <v>26</v>
      </c>
      <c r="Q10" s="34" t="s">
        <v>26</v>
      </c>
      <c r="R10" s="34" t="s">
        <v>26</v>
      </c>
      <c r="S10" s="34" t="s">
        <v>26</v>
      </c>
      <c r="T10" s="12"/>
      <c r="U10" s="34" t="s">
        <v>26</v>
      </c>
      <c r="V10" s="34" t="s">
        <v>26</v>
      </c>
      <c r="W10" s="34" t="s">
        <v>26</v>
      </c>
      <c r="X10" s="34" t="s">
        <v>26</v>
      </c>
      <c r="Y10" s="34" t="s">
        <v>26</v>
      </c>
      <c r="AA10" s="34" t="s">
        <v>26</v>
      </c>
      <c r="AB10" s="34" t="s">
        <v>26</v>
      </c>
      <c r="AC10" s="34" t="s">
        <v>26</v>
      </c>
      <c r="AD10" s="34" t="s">
        <v>26</v>
      </c>
      <c r="AE10" s="34" t="s">
        <v>26</v>
      </c>
      <c r="AG10" s="34" t="s">
        <v>26</v>
      </c>
      <c r="AH10" s="34" t="s">
        <v>26</v>
      </c>
      <c r="AI10" s="34" t="s">
        <v>26</v>
      </c>
      <c r="AJ10" s="34" t="s">
        <v>26</v>
      </c>
      <c r="AK10" s="34" t="s">
        <v>26</v>
      </c>
      <c r="AM10" s="34" t="s">
        <v>26</v>
      </c>
      <c r="AN10" s="34" t="s">
        <v>26</v>
      </c>
      <c r="AO10" s="34" t="s">
        <v>26</v>
      </c>
      <c r="AP10" s="34" t="s">
        <v>26</v>
      </c>
      <c r="AQ10" s="34" t="s">
        <v>26</v>
      </c>
    </row>
    <row r="11" spans="1:43" ht="14" customHeight="1">
      <c r="A11" s="13"/>
      <c r="B11" s="84"/>
      <c r="C11" s="14"/>
      <c r="D11" s="272" t="s">
        <v>246</v>
      </c>
      <c r="E11" s="272"/>
      <c r="F11" s="272"/>
      <c r="G11" s="272"/>
      <c r="H11" s="273"/>
      <c r="I11" s="2"/>
      <c r="J11" s="2"/>
      <c r="K11" s="2"/>
      <c r="L11" s="2"/>
      <c r="M11" s="2"/>
      <c r="N11" s="13"/>
      <c r="O11" s="15" t="s">
        <v>21</v>
      </c>
      <c r="P11" s="15" t="s">
        <v>22</v>
      </c>
      <c r="Q11" s="15" t="s">
        <v>23</v>
      </c>
      <c r="R11" s="15" t="s">
        <v>24</v>
      </c>
      <c r="S11" s="15" t="s">
        <v>25</v>
      </c>
      <c r="T11" s="15"/>
      <c r="U11" s="15" t="s">
        <v>21</v>
      </c>
      <c r="V11" s="15" t="s">
        <v>22</v>
      </c>
      <c r="W11" s="15" t="s">
        <v>23</v>
      </c>
      <c r="X11" s="15" t="s">
        <v>24</v>
      </c>
      <c r="Y11" s="15" t="s">
        <v>25</v>
      </c>
      <c r="AA11" s="15" t="s">
        <v>21</v>
      </c>
      <c r="AB11" s="15" t="s">
        <v>22</v>
      </c>
      <c r="AC11" s="15" t="s">
        <v>23</v>
      </c>
      <c r="AD11" s="15" t="s">
        <v>24</v>
      </c>
      <c r="AE11" s="15" t="s">
        <v>25</v>
      </c>
      <c r="AG11" s="15" t="s">
        <v>21</v>
      </c>
      <c r="AH11" s="15" t="s">
        <v>22</v>
      </c>
      <c r="AI11" s="15" t="s">
        <v>23</v>
      </c>
      <c r="AJ11" s="15" t="s">
        <v>24</v>
      </c>
      <c r="AK11" s="15" t="s">
        <v>25</v>
      </c>
      <c r="AM11" s="15" t="s">
        <v>21</v>
      </c>
      <c r="AN11" s="15" t="s">
        <v>22</v>
      </c>
      <c r="AO11" s="15" t="s">
        <v>23</v>
      </c>
      <c r="AP11" s="15" t="s">
        <v>24</v>
      </c>
      <c r="AQ11" s="15" t="s">
        <v>25</v>
      </c>
    </row>
    <row r="12" spans="1:43" ht="45">
      <c r="A12" s="13"/>
      <c r="B12" s="84"/>
      <c r="C12" s="14"/>
      <c r="D12" s="35" t="str">
        <f>'2. Standing data'!B13</f>
        <v>Option One - Base Case</v>
      </c>
      <c r="E12" s="35" t="str">
        <f>'2. Standing data'!B14</f>
        <v>Option Four</v>
      </c>
      <c r="F12" s="35" t="str">
        <f>'2. Standing data'!B15</f>
        <v>Option Five - Preferred Option</v>
      </c>
      <c r="G12" s="36" t="str">
        <f>'2. Standing data'!B16</f>
        <v xml:space="preserve">Option Six </v>
      </c>
      <c r="H12" s="36" t="str">
        <f>'2. Standing data'!B17</f>
        <v>Option Seven</v>
      </c>
      <c r="I12" s="2"/>
      <c r="J12" s="2"/>
      <c r="K12" s="2"/>
      <c r="L12" s="2"/>
      <c r="M12" s="2"/>
      <c r="O12" s="16" t="s">
        <v>29</v>
      </c>
      <c r="P12" s="16" t="s">
        <v>29</v>
      </c>
      <c r="Q12" s="16" t="s">
        <v>29</v>
      </c>
      <c r="R12" s="16" t="s">
        <v>29</v>
      </c>
      <c r="S12" s="16" t="s">
        <v>29</v>
      </c>
      <c r="T12" s="15"/>
      <c r="U12" s="16" t="s">
        <v>29</v>
      </c>
      <c r="V12" s="16" t="s">
        <v>29</v>
      </c>
      <c r="W12" s="16" t="s">
        <v>29</v>
      </c>
      <c r="X12" s="16" t="s">
        <v>29</v>
      </c>
      <c r="Y12" s="16" t="s">
        <v>29</v>
      </c>
      <c r="AA12" s="16" t="s">
        <v>29</v>
      </c>
      <c r="AB12" s="16" t="s">
        <v>29</v>
      </c>
      <c r="AC12" s="16" t="s">
        <v>29</v>
      </c>
      <c r="AD12" s="16" t="s">
        <v>29</v>
      </c>
      <c r="AE12" s="16" t="s">
        <v>29</v>
      </c>
      <c r="AG12" s="16" t="s">
        <v>29</v>
      </c>
      <c r="AH12" s="16" t="s">
        <v>29</v>
      </c>
      <c r="AI12" s="16" t="s">
        <v>29</v>
      </c>
      <c r="AJ12" s="16" t="s">
        <v>29</v>
      </c>
      <c r="AK12" s="16" t="s">
        <v>29</v>
      </c>
      <c r="AM12" s="16" t="s">
        <v>29</v>
      </c>
      <c r="AN12" s="16" t="s">
        <v>29</v>
      </c>
      <c r="AO12" s="16" t="s">
        <v>29</v>
      </c>
      <c r="AP12" s="16" t="s">
        <v>29</v>
      </c>
      <c r="AQ12" s="16" t="s">
        <v>29</v>
      </c>
    </row>
    <row r="13" spans="1:43" ht="15" thickBot="1">
      <c r="A13" s="17" t="s">
        <v>3</v>
      </c>
      <c r="B13" s="85"/>
      <c r="C13" s="3" t="s">
        <v>120</v>
      </c>
      <c r="D13" s="22" t="s">
        <v>4</v>
      </c>
      <c r="E13" s="22" t="s">
        <v>4</v>
      </c>
      <c r="F13" s="22" t="s">
        <v>4</v>
      </c>
      <c r="G13" s="22" t="s">
        <v>4</v>
      </c>
      <c r="H13" s="22" t="s">
        <v>4</v>
      </c>
      <c r="I13" s="167"/>
      <c r="J13" s="3"/>
      <c r="K13" s="3"/>
      <c r="L13" s="3"/>
      <c r="M13" s="3"/>
      <c r="N13" s="13"/>
      <c r="O13" s="165"/>
      <c r="P13" s="165"/>
      <c r="Q13" s="165"/>
      <c r="R13" s="165"/>
      <c r="S13" s="165"/>
      <c r="T13" s="13"/>
      <c r="U13" s="165"/>
      <c r="V13" s="165"/>
      <c r="W13" s="165"/>
      <c r="X13" s="165"/>
      <c r="Y13" s="165"/>
      <c r="AA13" s="165"/>
      <c r="AB13" s="165"/>
      <c r="AC13" s="165"/>
      <c r="AD13" s="165"/>
      <c r="AE13" s="165"/>
      <c r="AG13" s="165"/>
      <c r="AH13" s="165"/>
      <c r="AI13" s="165"/>
      <c r="AJ13" s="165"/>
      <c r="AK13" s="165"/>
      <c r="AM13" s="165"/>
      <c r="AN13" s="165"/>
      <c r="AO13" s="165"/>
      <c r="AP13" s="165"/>
      <c r="AQ13" s="165"/>
    </row>
    <row r="14" spans="1:43">
      <c r="A14" s="17"/>
      <c r="B14" s="132"/>
      <c r="C14" s="156"/>
      <c r="D14" s="160"/>
      <c r="E14" s="160"/>
      <c r="F14" s="160"/>
      <c r="G14" s="160"/>
      <c r="H14" s="160"/>
      <c r="I14" s="148"/>
      <c r="J14" s="4"/>
      <c r="K14" s="4"/>
      <c r="L14" s="4"/>
      <c r="M14" s="4"/>
      <c r="N14" s="13"/>
      <c r="O14" s="5"/>
      <c r="P14" s="5"/>
      <c r="Q14" s="5"/>
      <c r="R14" s="5"/>
      <c r="S14" s="5"/>
      <c r="T14" s="13"/>
      <c r="U14" s="5"/>
      <c r="V14" s="5"/>
      <c r="W14" s="5"/>
      <c r="X14" s="5"/>
      <c r="Y14" s="5"/>
      <c r="AA14" s="5"/>
      <c r="AB14" s="5"/>
      <c r="AC14" s="5"/>
      <c r="AD14" s="5"/>
      <c r="AE14" s="5"/>
      <c r="AG14" s="5"/>
      <c r="AH14" s="5"/>
      <c r="AI14" s="5"/>
      <c r="AJ14" s="5"/>
      <c r="AK14" s="5"/>
      <c r="AM14" s="5"/>
      <c r="AN14" s="5"/>
      <c r="AO14" s="5"/>
      <c r="AP14" s="5"/>
      <c r="AQ14" s="5"/>
    </row>
    <row r="15" spans="1:43">
      <c r="A15" s="17" t="s">
        <v>105</v>
      </c>
      <c r="B15" s="4">
        <v>0</v>
      </c>
      <c r="C15" s="157"/>
      <c r="D15" s="161"/>
      <c r="E15" s="161"/>
      <c r="F15" s="161"/>
      <c r="G15" s="161"/>
      <c r="H15" s="161"/>
      <c r="I15" s="148"/>
      <c r="J15" s="4"/>
      <c r="K15" s="4"/>
      <c r="L15" s="4"/>
      <c r="M15" s="4"/>
      <c r="N15" s="13"/>
      <c r="O15" s="5"/>
      <c r="P15" s="5"/>
      <c r="Q15" s="5"/>
      <c r="R15" s="5"/>
      <c r="S15" s="5"/>
      <c r="T15" s="13"/>
      <c r="U15" s="5"/>
      <c r="V15" s="5"/>
      <c r="W15" s="5"/>
      <c r="X15" s="5"/>
      <c r="Y15" s="5"/>
      <c r="AA15" s="5"/>
      <c r="AB15" s="5"/>
      <c r="AC15" s="5"/>
      <c r="AD15" s="5"/>
      <c r="AE15" s="5"/>
      <c r="AG15" s="5"/>
      <c r="AH15" s="5"/>
      <c r="AI15" s="5"/>
      <c r="AJ15" s="5"/>
      <c r="AK15" s="5"/>
      <c r="AM15" s="5"/>
      <c r="AN15" s="5"/>
      <c r="AO15" s="5"/>
      <c r="AP15" s="5"/>
      <c r="AQ15" s="5"/>
    </row>
    <row r="16" spans="1:43">
      <c r="A16" s="13" t="s">
        <v>161</v>
      </c>
      <c r="B16" s="4">
        <v>0</v>
      </c>
      <c r="C16" s="157">
        <f>I16/D16*1000</f>
        <v>-858.69914961506493</v>
      </c>
      <c r="D16" s="169">
        <f>'7a. Income and Activity'!B5</f>
        <v>1568.6000000000001</v>
      </c>
      <c r="E16" s="169">
        <f>'7a. Income and Activity'!C5</f>
        <v>1568.6000000000001</v>
      </c>
      <c r="F16" s="169">
        <f>'7a. Income and Activity'!D5</f>
        <v>1568.6000000000001</v>
      </c>
      <c r="G16" s="169">
        <f>'7a. Income and Activity'!E5</f>
        <v>4290.2420000000002</v>
      </c>
      <c r="H16" s="169">
        <f>'7a. Income and Activity'!F5</f>
        <v>5310.9760756800006</v>
      </c>
      <c r="I16" s="148">
        <f>'7a. Income and Activity'!G5/1000</f>
        <v>-1346.9554860861908</v>
      </c>
      <c r="J16" s="148">
        <f>'7a. Income and Activity'!H5/1000</f>
        <v>-1346.9554860861908</v>
      </c>
      <c r="K16" s="148">
        <f>'7a. Income and Activity'!I5/1000</f>
        <v>-1346.9554860861908</v>
      </c>
      <c r="L16" s="148">
        <f>'7a. Income and Activity'!J5/1000</f>
        <v>-3684.0271570428354</v>
      </c>
      <c r="M16" s="148">
        <f>'7a. Income and Activity'!K5/1000</f>
        <v>-4560.5306398123721</v>
      </c>
      <c r="N16" s="13"/>
      <c r="O16" s="5">
        <f>AA16</f>
        <v>-1305.6932274968792</v>
      </c>
      <c r="P16" s="5">
        <f>I16</f>
        <v>-1346.9554860861908</v>
      </c>
      <c r="Q16" s="5">
        <f t="shared" ref="Q16:S22" si="5">$P16*(AC16/$AB16)</f>
        <v>-1396.4767164573575</v>
      </c>
      <c r="R16" s="5">
        <f t="shared" si="5"/>
        <v>-1448.2961013432275</v>
      </c>
      <c r="S16" s="5">
        <f t="shared" si="5"/>
        <v>-1500.1255688022836</v>
      </c>
      <c r="T16" s="13"/>
      <c r="U16" s="5">
        <f>AA16</f>
        <v>-1305.6932274968792</v>
      </c>
      <c r="V16" s="5">
        <f>J16</f>
        <v>-1346.9554860861908</v>
      </c>
      <c r="W16" s="5">
        <f t="shared" ref="W16:Y22" si="6">$V16*(AC16/$AB16)</f>
        <v>-1396.4767164573575</v>
      </c>
      <c r="X16" s="5">
        <f t="shared" si="6"/>
        <v>-1448.2961013432275</v>
      </c>
      <c r="Y16" s="5">
        <f t="shared" si="6"/>
        <v>-1500.1255688022836</v>
      </c>
      <c r="AA16" s="5">
        <v>-1305.6932274968792</v>
      </c>
      <c r="AB16" s="5">
        <f>K16</f>
        <v>-1346.9554860861908</v>
      </c>
      <c r="AC16" s="5">
        <v>-1396.4767164573575</v>
      </c>
      <c r="AD16" s="5">
        <v>-1448.2961013432275</v>
      </c>
      <c r="AE16" s="5">
        <v>-1500.1255688022836</v>
      </c>
      <c r="AG16" s="5">
        <f>AA16+(-0.840214432108674*(('7a. Income and Activity'!E5-'7a. Income and Activity'!D5)*4.5/12))</f>
        <v>-2163.2293102842978</v>
      </c>
      <c r="AH16" s="5">
        <f>L16</f>
        <v>-3684.0271570428354</v>
      </c>
      <c r="AI16" s="5">
        <f t="shared" ref="AI16:AK22" si="7">$AH16*(AC16/$AB16)</f>
        <v>-3819.4715421187343</v>
      </c>
      <c r="AJ16" s="5">
        <f t="shared" si="7"/>
        <v>-3961.2015570693425</v>
      </c>
      <c r="AK16" s="5">
        <f t="shared" si="7"/>
        <v>-4102.9591486353738</v>
      </c>
      <c r="AM16" s="5">
        <f>AA16+(-0.840214432108674*(('7a. Income and Activity'!F5-'7a. Income and Activity'!D5)*4.5/12))</f>
        <v>-2484.8426234335893</v>
      </c>
      <c r="AN16" s="5">
        <f>M16</f>
        <v>-4560.5306398123721</v>
      </c>
      <c r="AO16" s="5">
        <f t="shared" ref="AO16:AQ22" si="8">$AN16*(AC16/$AB16)</f>
        <v>-4728.1999434841209</v>
      </c>
      <c r="AP16" s="5">
        <f t="shared" si="8"/>
        <v>-4903.6503536494329</v>
      </c>
      <c r="AQ16" s="5">
        <f t="shared" si="8"/>
        <v>-5079.134901456574</v>
      </c>
    </row>
    <row r="17" spans="1:43">
      <c r="A17" s="13" t="s">
        <v>163</v>
      </c>
      <c r="B17" s="4">
        <v>0</v>
      </c>
      <c r="C17" s="157">
        <f>I17/D17*1000</f>
        <v>-6730.0649339423198</v>
      </c>
      <c r="D17" s="169">
        <f>'7a. Income and Activity'!B6</f>
        <v>1480</v>
      </c>
      <c r="E17" s="169">
        <f>'7a. Income and Activity'!C6</f>
        <v>2709.0512261252002</v>
      </c>
      <c r="F17" s="169">
        <f>'7a. Income and Activity'!D6</f>
        <v>4226.3999999999996</v>
      </c>
      <c r="G17" s="169">
        <f>'7a. Income and Activity'!E6</f>
        <v>4226.3999999999996</v>
      </c>
      <c r="H17" s="169">
        <f>'7a. Income and Activity'!F6</f>
        <v>4611.6030285599991</v>
      </c>
      <c r="I17" s="148">
        <f>'7a. Income and Activity'!G6/1000</f>
        <v>-9960.4961022346324</v>
      </c>
      <c r="J17" s="148">
        <f>'7a. Income and Activity'!H6/1000</f>
        <v>-18232.09066119865</v>
      </c>
      <c r="K17" s="148">
        <f>'7a. Income and Activity'!I6/1000</f>
        <v>-28443.946436813811</v>
      </c>
      <c r="L17" s="148">
        <f>'7a. Income and Activity'!J6/1000</f>
        <v>-28443.946436813811</v>
      </c>
      <c r="M17" s="148">
        <f>'7a. Income and Activity'!K6/1000</f>
        <v>-31036.387831773849</v>
      </c>
      <c r="N17" s="13"/>
      <c r="O17" s="5">
        <f t="shared" ref="O17:O22" si="9">P17/1.022/1.01</f>
        <v>-9649.5864275393142</v>
      </c>
      <c r="P17" s="5">
        <f>I17</f>
        <v>-9960.4961022346324</v>
      </c>
      <c r="Q17" s="5">
        <f t="shared" si="5"/>
        <v>-10328.024684196494</v>
      </c>
      <c r="R17" s="5">
        <f t="shared" si="5"/>
        <v>-10710.364248872685</v>
      </c>
      <c r="S17" s="5">
        <f t="shared" si="5"/>
        <v>-11094.484046259764</v>
      </c>
      <c r="T17" s="13"/>
      <c r="U17" s="5">
        <f>(-6.58519073771264*('7a. Income and Activity'!C6-'7a. Income and Activity'!B6)*4.5/12)+((-6.58519073771264*'7a. Income and Activity'!B6))</f>
        <v>-12781.15857323497</v>
      </c>
      <c r="V17" s="5">
        <f>J17</f>
        <v>-18232.09066119865</v>
      </c>
      <c r="W17" s="5">
        <f t="shared" si="6"/>
        <v>-18904.829685252593</v>
      </c>
      <c r="X17" s="5">
        <f t="shared" si="6"/>
        <v>-19604.679324767603</v>
      </c>
      <c r="Y17" s="5">
        <f t="shared" si="6"/>
        <v>-20307.787573477348</v>
      </c>
      <c r="AA17" s="5">
        <v>-16370.784173953625</v>
      </c>
      <c r="AB17" s="5">
        <f t="shared" ref="AB17:AB19" si="10">K17</f>
        <v>-28443.946436813811</v>
      </c>
      <c r="AC17" s="5">
        <v>-29493.488868437871</v>
      </c>
      <c r="AD17" s="5">
        <v>-30585.326663132102</v>
      </c>
      <c r="AE17" s="5">
        <v>-31682.248225075844</v>
      </c>
      <c r="AG17" s="5">
        <f>AA17</f>
        <v>-16370.784173953625</v>
      </c>
      <c r="AH17" s="5">
        <f t="shared" ref="AH17:AH24" si="11">L17</f>
        <v>-28443.946436813811</v>
      </c>
      <c r="AI17" s="5">
        <f t="shared" si="7"/>
        <v>-29493.488868437871</v>
      </c>
      <c r="AJ17" s="5">
        <f t="shared" si="7"/>
        <v>-30585.326663132102</v>
      </c>
      <c r="AK17" s="5">
        <f t="shared" si="7"/>
        <v>-31682.248225075848</v>
      </c>
      <c r="AM17" s="5">
        <f>(((-6.58519073771264*('7a. Income and Activity'!F6-'7a. Income and Activity'!B6))*(4.5/12))/1.01)+'4. Revenue'!O17</f>
        <v>-17306.345062885659</v>
      </c>
      <c r="AN17" s="5">
        <f>M17</f>
        <v>-31036.387831773849</v>
      </c>
      <c r="AO17" s="5">
        <f t="shared" si="8"/>
        <v>-32181.58777883985</v>
      </c>
      <c r="AP17" s="5">
        <f t="shared" si="8"/>
        <v>-33372.93797775812</v>
      </c>
      <c r="AQ17" s="5">
        <f t="shared" si="8"/>
        <v>-34569.835289217648</v>
      </c>
    </row>
    <row r="18" spans="1:43">
      <c r="A18" s="13" t="s">
        <v>165</v>
      </c>
      <c r="B18" s="4">
        <v>0</v>
      </c>
      <c r="C18" s="157">
        <f>I18/D18*1000</f>
        <v>-99.93</v>
      </c>
      <c r="D18" s="169">
        <f>'7a. Income and Activity'!B7</f>
        <v>3048.6000000000004</v>
      </c>
      <c r="E18" s="169">
        <f>'7a. Income and Activity'!C7</f>
        <v>3171.5051226125206</v>
      </c>
      <c r="F18" s="169">
        <f>'7a. Income and Activity'!D7</f>
        <v>3323.2400000000002</v>
      </c>
      <c r="G18" s="169">
        <f>'7a. Income and Activity'!E7</f>
        <v>3595.4042000000004</v>
      </c>
      <c r="H18" s="169">
        <f>'7a. Income and Activity'!F7</f>
        <v>3735.9979104240001</v>
      </c>
      <c r="I18" s="148">
        <f>'7a. Income and Activity'!G7/1000</f>
        <v>-304.64659800000004</v>
      </c>
      <c r="J18" s="148">
        <f>'7a. Income and Activity'!H7/1000</f>
        <v>-316.9285069026692</v>
      </c>
      <c r="K18" s="148">
        <f>'7a. Income and Activity'!I7/1000</f>
        <v>-332.09137320000002</v>
      </c>
      <c r="L18" s="148">
        <f>'7a. Income and Activity'!J7/1000</f>
        <v>-359.28874170600005</v>
      </c>
      <c r="M18" s="148">
        <f>'7a. Income and Activity'!K7/1000</f>
        <v>-373.33827118867038</v>
      </c>
      <c r="N18" s="13"/>
      <c r="O18" s="5">
        <f>P18/1.022/1.01</f>
        <v>-295.13727499951563</v>
      </c>
      <c r="P18" s="5">
        <f>I18</f>
        <v>-304.64659800000004</v>
      </c>
      <c r="Q18" s="5">
        <f t="shared" si="5"/>
        <v>-309.18984055752827</v>
      </c>
      <c r="R18" s="5">
        <f t="shared" si="5"/>
        <v>-313.99343034797374</v>
      </c>
      <c r="S18" s="5">
        <f t="shared" si="5"/>
        <v>-318.68701426535563</v>
      </c>
      <c r="T18" s="13"/>
      <c r="U18" s="5">
        <f>V18/V17*U17</f>
        <v>-222.17493201272282</v>
      </c>
      <c r="V18" s="5">
        <f>J18</f>
        <v>-316.9285069026692</v>
      </c>
      <c r="W18" s="5">
        <f t="shared" si="6"/>
        <v>-321.65491149640798</v>
      </c>
      <c r="X18" s="5">
        <f t="shared" si="6"/>
        <v>-326.65215929124065</v>
      </c>
      <c r="Y18" s="5">
        <f t="shared" si="6"/>
        <v>-331.53496629687879</v>
      </c>
      <c r="AA18" s="5">
        <v>-311.98146000000003</v>
      </c>
      <c r="AB18" s="5">
        <f t="shared" si="10"/>
        <v>-332.09137320000002</v>
      </c>
      <c r="AC18" s="5">
        <v>-337.04390400000005</v>
      </c>
      <c r="AD18" s="5">
        <v>-342.28023600000006</v>
      </c>
      <c r="AE18" s="5">
        <v>-347.39665200000007</v>
      </c>
      <c r="AG18" s="5">
        <v>-304.66699999999997</v>
      </c>
      <c r="AH18" s="5">
        <f t="shared" si="11"/>
        <v>-359.28874170600005</v>
      </c>
      <c r="AI18" s="5">
        <f t="shared" si="7"/>
        <v>-364.64687113359167</v>
      </c>
      <c r="AJ18" s="5">
        <f t="shared" si="7"/>
        <v>-370.31204429755041</v>
      </c>
      <c r="AK18" s="5">
        <f t="shared" si="7"/>
        <v>-375.84748067149496</v>
      </c>
      <c r="AM18" s="5">
        <f>((('7a. Income and Activity'!B5+'7a. Income and Activity'!B6)*-99.93)+((('7a. Income and Activity'!F5+'7a. Income and Activity'!F6-'7a. Income and Activity'!B5-'7a. Income and Activity'!B6)*0.1)*(4.5/12))*-99.93)/1.01/1000</f>
        <v>-327.13462915420934</v>
      </c>
      <c r="AN18" s="5">
        <f>M18</f>
        <v>-373.33827118867038</v>
      </c>
      <c r="AO18" s="5">
        <f t="shared" si="8"/>
        <v>-378.90592345576835</v>
      </c>
      <c r="AP18" s="5">
        <f t="shared" si="8"/>
        <v>-384.79262601420118</v>
      </c>
      <c r="AQ18" s="5">
        <f t="shared" si="8"/>
        <v>-390.54451859037988</v>
      </c>
    </row>
    <row r="19" spans="1:43">
      <c r="A19" s="13" t="s">
        <v>167</v>
      </c>
      <c r="B19" s="4">
        <v>0</v>
      </c>
      <c r="C19" s="157">
        <f>I19/D19*1000</f>
        <v>-980.70000000000016</v>
      </c>
      <c r="D19" s="169">
        <f>'7a. Income and Activity'!B8</f>
        <v>222</v>
      </c>
      <c r="E19" s="169">
        <f>'7a. Income and Activity'!C8</f>
        <v>406</v>
      </c>
      <c r="F19" s="169">
        <f>'7a. Income and Activity'!D8</f>
        <v>634</v>
      </c>
      <c r="G19" s="169">
        <f>'7a. Income and Activity'!E8</f>
        <v>634</v>
      </c>
      <c r="H19" s="169">
        <f>'7a. Income and Activity'!F8</f>
        <v>692</v>
      </c>
      <c r="I19" s="148">
        <f>'7a. Income and Activity'!G8/1000</f>
        <v>-217.71540000000002</v>
      </c>
      <c r="J19" s="148">
        <f>'7a. Income and Activity'!H8/1000</f>
        <v>-398.16419999999999</v>
      </c>
      <c r="K19" s="148">
        <f>'7a. Income and Activity'!I8/1000</f>
        <v>-621.76380000000006</v>
      </c>
      <c r="L19" s="148">
        <f>'7a. Income and Activity'!J8/1000</f>
        <v>-621.76380000000006</v>
      </c>
      <c r="M19" s="148">
        <f>'7a. Income and Activity'!K8/1000</f>
        <v>-678.64440000000002</v>
      </c>
      <c r="N19" s="13"/>
      <c r="O19" s="5">
        <f t="shared" si="9"/>
        <v>-210.91957140919573</v>
      </c>
      <c r="P19" s="5">
        <f t="shared" ref="P19:P24" si="12">I19</f>
        <v>-217.71540000000002</v>
      </c>
      <c r="Q19" s="5">
        <f t="shared" si="5"/>
        <v>-220.97769700315456</v>
      </c>
      <c r="R19" s="5">
        <f t="shared" si="5"/>
        <v>-224.42886383280754</v>
      </c>
      <c r="S19" s="5">
        <f t="shared" si="5"/>
        <v>-227.77701075709777</v>
      </c>
      <c r="T19" s="13"/>
      <c r="U19" s="5">
        <f>V19/V17*U17</f>
        <v>-279.12321592474314</v>
      </c>
      <c r="V19" s="5">
        <f>J19</f>
        <v>-398.16419999999999</v>
      </c>
      <c r="W19" s="5">
        <f t="shared" si="6"/>
        <v>-404.13038280757092</v>
      </c>
      <c r="X19" s="5">
        <f t="shared" si="6"/>
        <v>-410.44197619873808</v>
      </c>
      <c r="Y19" s="5">
        <f t="shared" si="6"/>
        <v>-416.5651638170346</v>
      </c>
      <c r="AA19" s="5">
        <v>-365.70302999999996</v>
      </c>
      <c r="AB19" s="5">
        <f t="shared" si="10"/>
        <v>-621.76380000000006</v>
      </c>
      <c r="AC19" s="5">
        <v>-631.08045000000004</v>
      </c>
      <c r="AD19" s="5">
        <v>-640.93648499999995</v>
      </c>
      <c r="AE19" s="5">
        <v>-650.49830999999995</v>
      </c>
      <c r="AG19" s="5">
        <f>AA19</f>
        <v>-365.70302999999996</v>
      </c>
      <c r="AH19" s="5">
        <f t="shared" si="11"/>
        <v>-621.76380000000006</v>
      </c>
      <c r="AI19" s="5">
        <f t="shared" si="7"/>
        <v>-631.08045000000004</v>
      </c>
      <c r="AJ19" s="5">
        <f t="shared" si="7"/>
        <v>-640.93648499999995</v>
      </c>
      <c r="AK19" s="5">
        <f t="shared" si="7"/>
        <v>-650.49830999999995</v>
      </c>
      <c r="AM19" s="5">
        <f>AM17*0.15</f>
        <v>-2595.9517594328486</v>
      </c>
      <c r="AN19" s="5">
        <f>M19</f>
        <v>-678.64440000000002</v>
      </c>
      <c r="AO19" s="5">
        <f t="shared" si="8"/>
        <v>-688.81336182965299</v>
      </c>
      <c r="AP19" s="5">
        <f t="shared" si="8"/>
        <v>-699.57105302839102</v>
      </c>
      <c r="AQ19" s="5">
        <f t="shared" si="8"/>
        <v>-710.00761911671918</v>
      </c>
    </row>
    <row r="20" spans="1:43">
      <c r="A20" s="13" t="s">
        <v>171</v>
      </c>
      <c r="B20" s="4">
        <v>0</v>
      </c>
      <c r="C20" s="157"/>
      <c r="D20" s="169">
        <f>'7a. Income and Activity'!B9</f>
        <v>0</v>
      </c>
      <c r="E20" s="169">
        <f>'7a. Income and Activity'!C9</f>
        <v>0</v>
      </c>
      <c r="F20" s="169">
        <f>'7a. Income and Activity'!D9</f>
        <v>0</v>
      </c>
      <c r="G20" s="169">
        <f>'7a. Income and Activity'!E9</f>
        <v>0</v>
      </c>
      <c r="H20" s="169">
        <f>'7a. Income and Activity'!F9</f>
        <v>0</v>
      </c>
      <c r="I20" s="148">
        <f>'7a. Income and Activity'!G10/1000</f>
        <v>-9.2958335338100095</v>
      </c>
      <c r="J20" s="148">
        <f>'7a. Income and Activity'!H10/1000</f>
        <v>-17.015465697718756</v>
      </c>
      <c r="K20" s="148">
        <v>-26.545885707631516</v>
      </c>
      <c r="L20" s="148">
        <f>'7a. Income and Activity'!J10/1000</f>
        <v>-26.545885707631498</v>
      </c>
      <c r="M20" s="148">
        <f>'7a. Income and Activity'!K10/1000</f>
        <v>-28.965333836153942</v>
      </c>
      <c r="N20" s="13"/>
      <c r="O20" s="5">
        <f t="shared" si="9"/>
        <v>-9.005670819989934</v>
      </c>
      <c r="P20" s="5">
        <f t="shared" si="12"/>
        <v>-9.2958335338100095</v>
      </c>
      <c r="Q20" s="5">
        <f t="shared" si="5"/>
        <v>-9.6704556252225551</v>
      </c>
      <c r="R20" s="5">
        <f t="shared" si="5"/>
        <v>-10.094040922518554</v>
      </c>
      <c r="S20" s="5">
        <f t="shared" si="5"/>
        <v>-10.533061044361654</v>
      </c>
      <c r="T20" s="13"/>
      <c r="U20" s="5">
        <f>($U$17/$V$17)*V20</f>
        <v>-11.928273576590794</v>
      </c>
      <c r="V20" s="5">
        <f t="shared" ref="V20:V24" si="13">J20</f>
        <v>-17.015465697718756</v>
      </c>
      <c r="W20" s="5">
        <f t="shared" si="6"/>
        <v>-17.701188965336826</v>
      </c>
      <c r="X20" s="5">
        <f t="shared" si="6"/>
        <v>-18.476536444396508</v>
      </c>
      <c r="Y20" s="5">
        <f t="shared" si="6"/>
        <v>-19.280136443972648</v>
      </c>
      <c r="AA20" s="5">
        <v>-17.550764000952928</v>
      </c>
      <c r="AB20" s="5">
        <v>-26.545885707631516</v>
      </c>
      <c r="AC20" s="5">
        <v>-27.615684901649072</v>
      </c>
      <c r="AD20" s="5">
        <v>-28.825307131711106</v>
      </c>
      <c r="AE20" s="5">
        <v>-30.079006214790617</v>
      </c>
      <c r="AG20" s="5">
        <f>AA20</f>
        <v>-17.550764000952928</v>
      </c>
      <c r="AH20" s="5">
        <f t="shared" si="11"/>
        <v>-26.545885707631498</v>
      </c>
      <c r="AI20" s="5">
        <f t="shared" si="7"/>
        <v>-27.615684901649054</v>
      </c>
      <c r="AJ20" s="5">
        <f t="shared" si="7"/>
        <v>-28.825307131711085</v>
      </c>
      <c r="AK20" s="5">
        <f t="shared" si="7"/>
        <v>-30.079006214790599</v>
      </c>
      <c r="AM20" s="5">
        <f>($AN$20/$AN$17)*AM17</f>
        <v>-16.151494978966674</v>
      </c>
      <c r="AN20" s="5">
        <f t="shared" ref="AN20:AN24" si="14">M20</f>
        <v>-28.965333836153942</v>
      </c>
      <c r="AO20" s="5">
        <f t="shared" si="8"/>
        <v>-30.132636789750951</v>
      </c>
      <c r="AP20" s="5">
        <f t="shared" si="8"/>
        <v>-31.452506546415623</v>
      </c>
      <c r="AQ20" s="5">
        <f t="shared" si="8"/>
        <v>-32.82047041363888</v>
      </c>
    </row>
    <row r="21" spans="1:43">
      <c r="A21" s="13" t="s">
        <v>253</v>
      </c>
      <c r="B21" s="4"/>
      <c r="C21" s="157"/>
      <c r="D21" s="169"/>
      <c r="E21" s="169"/>
      <c r="F21" s="169"/>
      <c r="G21" s="169"/>
      <c r="H21" s="169"/>
      <c r="I21" s="148">
        <f>((D17)/($F$17))*$K$21</f>
        <v>-246.44401151999998</v>
      </c>
      <c r="J21" s="148">
        <f>((E17)/($F$17))*$K$21</f>
        <v>-451.10098079693842</v>
      </c>
      <c r="K21" s="148">
        <v>-703.76416911359991</v>
      </c>
      <c r="L21" s="148">
        <f>((G17)/($F$17))*$K$21</f>
        <v>-703.76416911359991</v>
      </c>
      <c r="M21" s="148">
        <f>((H17)/($F$17))*$K$21</f>
        <v>-767.90672290277507</v>
      </c>
      <c r="N21" s="13"/>
      <c r="O21" s="5">
        <f t="shared" si="9"/>
        <v>-238.75144011935436</v>
      </c>
      <c r="P21" s="5">
        <f t="shared" si="12"/>
        <v>-246.44401151999998</v>
      </c>
      <c r="Q21" s="5">
        <f t="shared" si="5"/>
        <v>-250.1525670596252</v>
      </c>
      <c r="R21" s="5">
        <f t="shared" si="5"/>
        <v>-254.05937871300398</v>
      </c>
      <c r="S21" s="5">
        <f t="shared" si="5"/>
        <v>-257.84956912299833</v>
      </c>
      <c r="T21" s="13"/>
      <c r="U21" s="5">
        <f>($U$17/$V$17)*V21</f>
        <v>-316.23324363879834</v>
      </c>
      <c r="V21" s="5">
        <f t="shared" si="13"/>
        <v>-451.10098079693842</v>
      </c>
      <c r="W21" s="5">
        <f t="shared" si="6"/>
        <v>-457.88926926435403</v>
      </c>
      <c r="X21" s="5">
        <f t="shared" si="6"/>
        <v>-465.04045365612836</v>
      </c>
      <c r="Y21" s="5">
        <f t="shared" si="6"/>
        <v>-471.97816985710347</v>
      </c>
      <c r="AA21" s="5">
        <v>-413.95933286399998</v>
      </c>
      <c r="AB21" s="5">
        <v>-703.76416911359991</v>
      </c>
      <c r="AC21" s="5">
        <v>-714.35460095999997</v>
      </c>
      <c r="AD21" s="5">
        <v>-725.51118796799994</v>
      </c>
      <c r="AE21" s="5">
        <v>-736.33474252799999</v>
      </c>
      <c r="AG21" s="5">
        <f>AA21</f>
        <v>-413.95933286399998</v>
      </c>
      <c r="AH21" s="5">
        <f t="shared" si="11"/>
        <v>-703.76416911359991</v>
      </c>
      <c r="AI21" s="5">
        <f t="shared" si="7"/>
        <v>-714.35460095999997</v>
      </c>
      <c r="AJ21" s="5">
        <f t="shared" si="7"/>
        <v>-725.51118796799994</v>
      </c>
      <c r="AK21" s="5">
        <f t="shared" si="7"/>
        <v>-736.33474252799999</v>
      </c>
      <c r="AM21" s="5">
        <f>($AN$20/$AN$17)*AM18</f>
        <v>-0.30530497924495509</v>
      </c>
      <c r="AN21" s="5">
        <f t="shared" si="14"/>
        <v>-767.90672290277507</v>
      </c>
      <c r="AO21" s="5">
        <f t="shared" si="8"/>
        <v>-779.46238909069314</v>
      </c>
      <c r="AP21" s="5">
        <f t="shared" si="8"/>
        <v>-791.63581101821671</v>
      </c>
      <c r="AQ21" s="5">
        <f t="shared" si="8"/>
        <v>-803.44584721656065</v>
      </c>
    </row>
    <row r="22" spans="1:43">
      <c r="A22" s="13" t="s">
        <v>254</v>
      </c>
      <c r="B22" s="4">
        <v>0</v>
      </c>
      <c r="C22" s="157"/>
      <c r="D22" s="161"/>
      <c r="E22" s="161"/>
      <c r="F22" s="161"/>
      <c r="G22" s="161"/>
      <c r="H22" s="161"/>
      <c r="I22" s="148">
        <f>((D16+D17)/($F$16+$F$17))*$K$22</f>
        <v>-54.711716997411571</v>
      </c>
      <c r="J22" s="148">
        <f>((E16+E17)/($F$16+$F$17))*$K$22</f>
        <v>-76.768891719934558</v>
      </c>
      <c r="K22" s="4">
        <v>-104</v>
      </c>
      <c r="L22" s="148">
        <f>((G16+G17)/($F$16+$F$17))*$K$22</f>
        <v>-152.84396341673857</v>
      </c>
      <c r="M22" s="148">
        <f>((H16+H17)/($F$16+$F$17))*$K$22</f>
        <v>-178.0756215428749</v>
      </c>
      <c r="N22" s="13"/>
      <c r="O22" s="5">
        <f t="shared" si="9"/>
        <v>-53.003930361174525</v>
      </c>
      <c r="P22" s="5">
        <f t="shared" si="12"/>
        <v>-54.711716997411571</v>
      </c>
      <c r="Q22" s="5">
        <f t="shared" si="5"/>
        <v>-56.353068507333923</v>
      </c>
      <c r="R22" s="5">
        <f t="shared" si="5"/>
        <v>-58.043660562553931</v>
      </c>
      <c r="S22" s="5">
        <f t="shared" si="5"/>
        <v>-59.784970379430554</v>
      </c>
      <c r="T22" s="13"/>
      <c r="U22" s="5">
        <f>(SUM(U16:U18)/SUM(V16:V18)*V22)</f>
        <v>-55.211576359367648</v>
      </c>
      <c r="V22" s="5">
        <f t="shared" si="13"/>
        <v>-76.768891719934558</v>
      </c>
      <c r="W22" s="5">
        <f t="shared" si="6"/>
        <v>-79.071958471532596</v>
      </c>
      <c r="X22" s="5">
        <f t="shared" si="6"/>
        <v>-81.444117225678568</v>
      </c>
      <c r="Y22" s="5">
        <f t="shared" si="6"/>
        <v>-83.887440742448931</v>
      </c>
      <c r="AA22" s="5">
        <v>-90.48</v>
      </c>
      <c r="AB22" s="5">
        <v>-104</v>
      </c>
      <c r="AC22" s="5">
        <v>-107.12</v>
      </c>
      <c r="AD22" s="5">
        <v>-110.3336</v>
      </c>
      <c r="AE22" s="5">
        <v>-113.643608</v>
      </c>
      <c r="AG22" s="5">
        <f>(SUM(AG16:AG18)/SUM(AH16:AH18)*AH22)</f>
        <v>-88.631001314029945</v>
      </c>
      <c r="AH22" s="5">
        <f t="shared" si="11"/>
        <v>-152.84396341673857</v>
      </c>
      <c r="AI22" s="5">
        <f t="shared" si="7"/>
        <v>-157.42928231924074</v>
      </c>
      <c r="AJ22" s="5">
        <f t="shared" si="7"/>
        <v>-162.15216078881795</v>
      </c>
      <c r="AK22" s="5">
        <f t="shared" si="7"/>
        <v>-167.0167256124825</v>
      </c>
      <c r="AM22" s="5">
        <f>(SUM(AM16:AM18)/SUM(AN16:AN18)*AN22)</f>
        <v>-99.598475939358863</v>
      </c>
      <c r="AN22" s="5">
        <f t="shared" si="14"/>
        <v>-178.0756215428749</v>
      </c>
      <c r="AO22" s="5">
        <f t="shared" si="8"/>
        <v>-183.41789018916114</v>
      </c>
      <c r="AP22" s="5">
        <f t="shared" si="8"/>
        <v>-188.92042689483597</v>
      </c>
      <c r="AQ22" s="5">
        <f t="shared" si="8"/>
        <v>-194.58803970168105</v>
      </c>
    </row>
    <row r="23" spans="1:43">
      <c r="A23" s="17" t="s">
        <v>106</v>
      </c>
      <c r="B23" s="4">
        <v>0</v>
      </c>
      <c r="C23" s="172"/>
      <c r="D23" s="169"/>
      <c r="E23" s="169"/>
      <c r="F23" s="169"/>
      <c r="G23" s="169"/>
      <c r="H23" s="161"/>
      <c r="I23" s="148"/>
      <c r="J23" s="148"/>
      <c r="K23" s="148"/>
      <c r="L23" s="148"/>
      <c r="M23" s="4"/>
      <c r="N23" s="13"/>
      <c r="O23" s="5"/>
      <c r="P23" s="5"/>
      <c r="Q23" s="5"/>
      <c r="R23" s="5"/>
      <c r="S23" s="5"/>
      <c r="T23" s="13"/>
      <c r="U23" s="5"/>
      <c r="V23" s="5"/>
      <c r="W23" s="5"/>
      <c r="X23" s="5"/>
      <c r="Y23" s="5"/>
      <c r="AA23" s="5"/>
      <c r="AB23" s="5"/>
      <c r="AC23" s="5"/>
      <c r="AD23" s="5"/>
      <c r="AE23" s="5"/>
      <c r="AG23" s="5"/>
      <c r="AH23" s="5"/>
      <c r="AI23" s="5"/>
      <c r="AJ23" s="5"/>
      <c r="AK23" s="5"/>
      <c r="AM23" s="5"/>
      <c r="AN23" s="5"/>
      <c r="AO23" s="5"/>
      <c r="AP23" s="5"/>
      <c r="AQ23" s="5"/>
    </row>
    <row r="24" spans="1:43">
      <c r="A24" s="13" t="s">
        <v>222</v>
      </c>
      <c r="B24" s="4">
        <v>0</v>
      </c>
      <c r="C24" s="144"/>
      <c r="D24" s="162"/>
      <c r="E24" s="162"/>
      <c r="F24" s="162"/>
      <c r="G24" s="162"/>
      <c r="H24" s="162"/>
      <c r="I24" s="148">
        <f>'7a. Income and Activity'!G12/1000</f>
        <v>-12.004010221465077</v>
      </c>
      <c r="J24" s="148">
        <f>'7a. Income and Activity'!H12/1000</f>
        <v>-21.97262068167527</v>
      </c>
      <c r="K24" s="148">
        <f>'7a. Income and Activity'!I12/1000</f>
        <v>-34.279559999999996</v>
      </c>
      <c r="L24" s="148">
        <f>'7a. Income and Activity'!J12/1000</f>
        <v>-34.279559999999996</v>
      </c>
      <c r="M24" s="148">
        <f>'7a. Income and Activity'!K12/1000</f>
        <v>-37.403871548765899</v>
      </c>
      <c r="N24" s="13"/>
      <c r="O24" s="5">
        <f>P24/1.022/1.01</f>
        <v>-11.629313732988198</v>
      </c>
      <c r="P24" s="5">
        <f t="shared" si="12"/>
        <v>-12.004010221465077</v>
      </c>
      <c r="Q24" s="5">
        <f>$P24*(AC24/$AB24)</f>
        <v>-12.26809844633731</v>
      </c>
      <c r="R24" s="5">
        <f>$P24*(AD24/$AB24)</f>
        <v>-12.537996612156734</v>
      </c>
      <c r="S24" s="5">
        <f>$P24*(AE24/$AB24)</f>
        <v>-12.813832537624183</v>
      </c>
      <c r="T24" s="13"/>
      <c r="U24" s="5">
        <f>O24+((V24-O24)*(4.5/12))</f>
        <v>-15.50805383874585</v>
      </c>
      <c r="V24" s="5">
        <f t="shared" si="13"/>
        <v>-21.97262068167527</v>
      </c>
      <c r="W24" s="5">
        <f>$V24*(AC24/$AB24)</f>
        <v>-22.45601833667213</v>
      </c>
      <c r="X24" s="5">
        <f>$V24*(AD24/$AB24)</f>
        <v>-22.950050740078922</v>
      </c>
      <c r="Y24" s="5">
        <f>$V24*(AE24/$AB24)</f>
        <v>-23.454951856360658</v>
      </c>
      <c r="AA24" s="5">
        <v>-29.448379733500005</v>
      </c>
      <c r="AB24" s="5">
        <f>K24</f>
        <v>-34.279559999999996</v>
      </c>
      <c r="AC24" s="5">
        <v>-35.033710320000004</v>
      </c>
      <c r="AD24" s="5">
        <v>-35.804451947040008</v>
      </c>
      <c r="AE24" s="5">
        <v>-36.592149889874889</v>
      </c>
      <c r="AG24" s="5">
        <f>AA24</f>
        <v>-29.448379733500005</v>
      </c>
      <c r="AH24" s="5">
        <f t="shared" si="11"/>
        <v>-34.279559999999996</v>
      </c>
      <c r="AI24" s="5">
        <f>$AH24*(AC24/$AB24)</f>
        <v>-35.033710320000004</v>
      </c>
      <c r="AJ24" s="5">
        <f>$AH24*(AD24/$AB24)</f>
        <v>-35.804451947040008</v>
      </c>
      <c r="AK24" s="5">
        <f>$AH24*(AE24/$AB24)</f>
        <v>-36.592149889874889</v>
      </c>
      <c r="AM24" s="5">
        <f>O24+((AN24-O24)*(4.5/12))</f>
        <v>-21.294772913904836</v>
      </c>
      <c r="AN24" s="5">
        <f t="shared" si="14"/>
        <v>-37.403871548765899</v>
      </c>
      <c r="AO24" s="5">
        <f>$AN24*(AC24/$AB24)</f>
        <v>-38.226756722838758</v>
      </c>
      <c r="AP24" s="5">
        <f>$AN24*(AD24/$AB24)</f>
        <v>-39.067745370741214</v>
      </c>
      <c r="AQ24" s="5">
        <f>$AN24*(AE24/$AB24)</f>
        <v>-39.927235768897525</v>
      </c>
    </row>
    <row r="25" spans="1:43" ht="15" thickBot="1">
      <c r="A25" s="13"/>
      <c r="B25" s="4">
        <v>0</v>
      </c>
      <c r="C25" s="158"/>
      <c r="D25" s="163"/>
      <c r="E25" s="163"/>
      <c r="F25" s="163"/>
      <c r="G25" s="163"/>
      <c r="H25" s="163"/>
      <c r="I25" s="147"/>
      <c r="J25" s="6"/>
      <c r="K25" s="6"/>
      <c r="L25" s="6"/>
      <c r="M25" s="6"/>
      <c r="N25" s="13"/>
      <c r="O25" s="5"/>
      <c r="P25" s="5"/>
      <c r="Q25" s="5"/>
      <c r="R25" s="5"/>
      <c r="S25" s="5"/>
      <c r="T25" s="20"/>
      <c r="U25" s="5"/>
      <c r="V25" s="5"/>
      <c r="W25" s="5"/>
      <c r="X25" s="5"/>
      <c r="Y25" s="5"/>
      <c r="AA25" s="5"/>
      <c r="AB25" s="5"/>
      <c r="AC25" s="5"/>
      <c r="AD25" s="5"/>
      <c r="AE25" s="5"/>
      <c r="AG25" s="5"/>
      <c r="AH25" s="5"/>
      <c r="AI25" s="5"/>
      <c r="AJ25" s="5"/>
      <c r="AK25" s="5"/>
      <c r="AM25" s="5"/>
      <c r="AN25" s="5"/>
      <c r="AO25" s="5"/>
      <c r="AP25" s="5"/>
      <c r="AQ25" s="5"/>
    </row>
    <row r="26" spans="1:43">
      <c r="A26" s="93" t="s">
        <v>5</v>
      </c>
      <c r="B26" s="120">
        <f>SUM(B13:B25)</f>
        <v>0</v>
      </c>
      <c r="C26" s="19"/>
      <c r="D26" s="14"/>
      <c r="E26" s="14"/>
      <c r="F26" s="14"/>
      <c r="G26" s="14"/>
      <c r="H26" s="14"/>
      <c r="I26" s="90">
        <f>SUM(I14:I25)</f>
        <v>-12152.269158593506</v>
      </c>
      <c r="J26" s="90">
        <f t="shared" ref="J26:M26" si="15">SUM(J14:J25)</f>
        <v>-20860.996813083773</v>
      </c>
      <c r="K26" s="90">
        <f t="shared" si="15"/>
        <v>-31613.346710921232</v>
      </c>
      <c r="L26" s="90">
        <f t="shared" si="15"/>
        <v>-34026.459713800614</v>
      </c>
      <c r="M26" s="90">
        <f t="shared" si="15"/>
        <v>-37661.252692605463</v>
      </c>
      <c r="N26" s="93"/>
      <c r="O26" s="90">
        <f>SUM(O14:O25)</f>
        <v>-11773.726856478412</v>
      </c>
      <c r="P26" s="90">
        <f t="shared" ref="P26:S26" si="16">SUM(P14:P25)</f>
        <v>-12152.269158593506</v>
      </c>
      <c r="Q26" s="90">
        <f t="shared" si="16"/>
        <v>-12583.113127853054</v>
      </c>
      <c r="R26" s="90">
        <f t="shared" si="16"/>
        <v>-13031.817721206926</v>
      </c>
      <c r="S26" s="90">
        <f t="shared" si="16"/>
        <v>-13482.055073168915</v>
      </c>
      <c r="T26" s="93"/>
      <c r="U26" s="90">
        <f t="shared" ref="U26:Y26" si="17">SUM(U14:U25)</f>
        <v>-14987.031096082819</v>
      </c>
      <c r="V26" s="90">
        <f t="shared" si="17"/>
        <v>-20860.996813083773</v>
      </c>
      <c r="W26" s="90">
        <f t="shared" si="17"/>
        <v>-21604.210131051826</v>
      </c>
      <c r="X26" s="90">
        <f t="shared" si="17"/>
        <v>-22377.980719667088</v>
      </c>
      <c r="Y26" s="90">
        <f t="shared" si="17"/>
        <v>-23154.613971293431</v>
      </c>
      <c r="Z26" s="76"/>
      <c r="AA26" s="90">
        <f t="shared" ref="AA26:AE26" si="18">SUM(AA14:AA25)</f>
        <v>-18905.600368048959</v>
      </c>
      <c r="AB26" s="90">
        <f t="shared" si="18"/>
        <v>-31613.346710921232</v>
      </c>
      <c r="AC26" s="90">
        <f t="shared" si="18"/>
        <v>-32742.213935076874</v>
      </c>
      <c r="AD26" s="90">
        <f t="shared" si="18"/>
        <v>-33917.314032522074</v>
      </c>
      <c r="AE26" s="90">
        <f t="shared" si="18"/>
        <v>-35096.918262510801</v>
      </c>
      <c r="AF26" s="76"/>
      <c r="AG26" s="90">
        <f t="shared" ref="AG26:AK26" si="19">SUM(AG14:AG25)</f>
        <v>-19753.972992150408</v>
      </c>
      <c r="AH26" s="90">
        <f t="shared" si="19"/>
        <v>-34026.459713800614</v>
      </c>
      <c r="AI26" s="90">
        <f t="shared" si="19"/>
        <v>-35243.121010191084</v>
      </c>
      <c r="AJ26" s="90">
        <f t="shared" si="19"/>
        <v>-36510.069857334558</v>
      </c>
      <c r="AK26" s="90">
        <f t="shared" si="19"/>
        <v>-37781.575788627873</v>
      </c>
      <c r="AL26" s="76"/>
      <c r="AM26" s="90">
        <f t="shared" ref="AM26:AQ26" si="20">SUM(AM14:AM25)</f>
        <v>-22851.624123717782</v>
      </c>
      <c r="AN26" s="90">
        <f t="shared" si="20"/>
        <v>-37661.252692605463</v>
      </c>
      <c r="AO26" s="90">
        <f t="shared" si="20"/>
        <v>-39008.746680401848</v>
      </c>
      <c r="AP26" s="90">
        <f t="shared" si="20"/>
        <v>-40412.028500280358</v>
      </c>
      <c r="AQ26" s="90">
        <f t="shared" si="20"/>
        <v>-41820.303921482089</v>
      </c>
    </row>
    <row r="27" spans="1:43">
      <c r="A27" s="13"/>
      <c r="B27" s="91"/>
      <c r="C27" s="21"/>
      <c r="D27" s="14"/>
      <c r="E27" s="14"/>
      <c r="F27" s="14"/>
      <c r="G27" s="14"/>
      <c r="H27" s="14"/>
      <c r="I27" s="5"/>
      <c r="J27" s="5"/>
      <c r="K27" s="5"/>
      <c r="L27" s="5"/>
      <c r="M27" s="5"/>
      <c r="N27" s="13"/>
      <c r="O27" s="21"/>
      <c r="P27" s="21"/>
      <c r="Q27" s="21"/>
      <c r="R27" s="21"/>
      <c r="S27" s="21"/>
      <c r="T27" s="13"/>
      <c r="U27" s="21"/>
      <c r="V27" s="21"/>
      <c r="W27" s="21"/>
      <c r="X27" s="21"/>
      <c r="Y27" s="21"/>
      <c r="AA27" s="21"/>
      <c r="AB27" s="21"/>
      <c r="AC27" s="21"/>
      <c r="AD27" s="21"/>
      <c r="AE27" s="21"/>
      <c r="AG27" s="21"/>
      <c r="AH27" s="21"/>
      <c r="AI27" s="21"/>
      <c r="AJ27" s="21"/>
      <c r="AK27" s="21"/>
      <c r="AM27" s="21"/>
      <c r="AN27" s="21"/>
      <c r="AO27" s="21"/>
      <c r="AP27" s="21"/>
      <c r="AQ27" s="21"/>
    </row>
    <row r="28" spans="1:43" ht="15" thickBot="1">
      <c r="A28" s="13"/>
      <c r="B28" s="91"/>
      <c r="C28" s="21"/>
      <c r="D28" s="14"/>
      <c r="E28" s="14"/>
      <c r="F28" s="14"/>
      <c r="G28" s="14"/>
      <c r="H28" s="14"/>
      <c r="I28" s="5"/>
      <c r="J28" s="5"/>
      <c r="K28" s="5"/>
      <c r="L28" s="5"/>
      <c r="M28" s="5"/>
      <c r="N28" s="13"/>
      <c r="O28" s="21"/>
      <c r="P28" s="21"/>
      <c r="Q28" s="21"/>
      <c r="R28" s="21"/>
      <c r="S28" s="21"/>
      <c r="T28" s="13"/>
      <c r="U28" s="21"/>
      <c r="V28" s="21"/>
      <c r="W28" s="21"/>
      <c r="X28" s="21"/>
      <c r="Y28" s="21"/>
      <c r="AA28" s="21"/>
      <c r="AB28" s="21"/>
      <c r="AC28" s="21"/>
      <c r="AD28" s="21"/>
      <c r="AE28" s="21"/>
      <c r="AG28" s="21"/>
      <c r="AH28" s="21"/>
      <c r="AI28" s="21"/>
      <c r="AJ28" s="21"/>
      <c r="AK28" s="21"/>
      <c r="AM28" s="21"/>
      <c r="AN28" s="21"/>
      <c r="AO28" s="21"/>
      <c r="AP28" s="21"/>
      <c r="AQ28" s="21"/>
    </row>
    <row r="29" spans="1:43" ht="60">
      <c r="A29" s="17" t="s">
        <v>6</v>
      </c>
      <c r="B29" s="92"/>
      <c r="C29" s="18" t="s">
        <v>99</v>
      </c>
      <c r="D29" s="223" t="str">
        <f>"WTE"&amp;" "&amp;D12</f>
        <v>WTE Option One - Base Case</v>
      </c>
      <c r="E29" s="223" t="str">
        <f t="shared" ref="E29:H29" si="21">"WTE"&amp;" "&amp;E12</f>
        <v>WTE Option Four</v>
      </c>
      <c r="F29" s="223" t="str">
        <f t="shared" si="21"/>
        <v>WTE Option Five - Preferred Option</v>
      </c>
      <c r="G29" s="223" t="str">
        <f t="shared" si="21"/>
        <v xml:space="preserve">WTE Option Six </v>
      </c>
      <c r="H29" s="223" t="str">
        <f t="shared" si="21"/>
        <v>WTE Option Seven</v>
      </c>
      <c r="I29" s="146"/>
      <c r="J29" s="7"/>
      <c r="K29" s="7"/>
      <c r="L29" s="7"/>
      <c r="M29" s="7"/>
      <c r="N29" s="13"/>
      <c r="O29" s="7"/>
      <c r="P29" s="7"/>
      <c r="Q29" s="7"/>
      <c r="R29" s="7"/>
      <c r="S29" s="7"/>
      <c r="T29" s="13"/>
      <c r="U29" s="7"/>
      <c r="V29" s="7"/>
      <c r="W29" s="7"/>
      <c r="X29" s="7"/>
      <c r="Y29" s="7"/>
      <c r="AA29" s="7"/>
      <c r="AB29" s="7"/>
      <c r="AC29" s="7"/>
      <c r="AD29" s="7"/>
      <c r="AE29" s="7"/>
      <c r="AG29" s="7"/>
      <c r="AH29" s="7"/>
      <c r="AI29" s="7"/>
      <c r="AJ29" s="7"/>
      <c r="AK29" s="7"/>
      <c r="AM29" s="7"/>
      <c r="AN29" s="7"/>
      <c r="AO29" s="7"/>
      <c r="AP29" s="7"/>
      <c r="AQ29" s="7"/>
    </row>
    <row r="30" spans="1:43">
      <c r="A30" s="17" t="s">
        <v>107</v>
      </c>
      <c r="B30" s="132"/>
      <c r="C30" s="18"/>
      <c r="D30" s="159"/>
      <c r="E30" s="159"/>
      <c r="F30" s="159"/>
      <c r="G30" s="159"/>
      <c r="H30" s="159"/>
      <c r="I30" s="164"/>
      <c r="J30" s="133"/>
      <c r="K30" s="133"/>
      <c r="L30" s="133"/>
      <c r="M30" s="133"/>
      <c r="N30" s="13"/>
      <c r="O30" s="133"/>
      <c r="P30" s="133"/>
      <c r="Q30" s="133"/>
      <c r="R30" s="133"/>
      <c r="S30" s="230"/>
      <c r="T30" s="13"/>
      <c r="U30" s="133"/>
      <c r="V30" s="133"/>
      <c r="W30" s="133"/>
      <c r="X30" s="133"/>
      <c r="Y30" s="133"/>
      <c r="AA30" s="133"/>
      <c r="AB30" s="133"/>
      <c r="AC30" s="133"/>
      <c r="AD30" s="133"/>
      <c r="AE30" s="133"/>
      <c r="AG30" s="133"/>
      <c r="AH30" s="133"/>
      <c r="AI30" s="133"/>
      <c r="AJ30" s="133"/>
      <c r="AK30" s="133"/>
      <c r="AM30" s="133"/>
      <c r="AN30" s="133"/>
      <c r="AO30" s="133"/>
      <c r="AP30" s="133"/>
      <c r="AQ30" s="133"/>
    </row>
    <row r="31" spans="1:43">
      <c r="A31" s="13" t="s">
        <v>223</v>
      </c>
      <c r="B31" s="4"/>
      <c r="C31" s="143"/>
      <c r="D31" s="151"/>
      <c r="E31" s="151"/>
      <c r="F31" s="151"/>
      <c r="G31" s="151"/>
      <c r="H31" s="151"/>
      <c r="I31" s="147">
        <f>P31</f>
        <v>301.78635647999999</v>
      </c>
      <c r="J31" s="147">
        <f>V31</f>
        <v>479.523780952545</v>
      </c>
      <c r="K31" s="147">
        <f t="shared" ref="K31:K39" si="22">AB31</f>
        <v>649.56529</v>
      </c>
      <c r="L31" s="147">
        <f>X31</f>
        <v>517.65551201389144</v>
      </c>
      <c r="M31" s="147">
        <f>Y31</f>
        <v>537.84407698243319</v>
      </c>
      <c r="N31" s="13"/>
      <c r="O31" s="5">
        <v>292.42863999999997</v>
      </c>
      <c r="P31" s="5">
        <f t="shared" ref="P31:P39" si="23">O31*1.032</f>
        <v>301.78635647999999</v>
      </c>
      <c r="Q31" s="5">
        <f t="shared" ref="Q31:Q39" si="24">P31*1.038</f>
        <v>313.25423802623999</v>
      </c>
      <c r="R31" s="5">
        <f t="shared" ref="R31:R39" si="25">Q31*1.04</f>
        <v>325.78440754728962</v>
      </c>
      <c r="S31" s="5">
        <f t="shared" ref="S31:S39" si="26">R31*1.039</f>
        <v>338.48999944163387</v>
      </c>
      <c r="T31" s="13"/>
      <c r="U31" s="5">
        <f t="shared" ref="U31:U37" si="27">((7/12)*O31)+((5/12)*V31)/1.01/1.022</f>
        <v>364.14828720527316</v>
      </c>
      <c r="V31" s="5">
        <f>AB31+-170.041509047455</f>
        <v>479.523780952545</v>
      </c>
      <c r="W31" s="5">
        <f t="shared" ref="W31:W39" si="28">V31*1.038</f>
        <v>497.74568462874174</v>
      </c>
      <c r="X31" s="5">
        <f t="shared" ref="X31:X39" si="29">W31*1.04</f>
        <v>517.65551201389144</v>
      </c>
      <c r="Y31" s="5">
        <f t="shared" ref="Y31:Y39" si="30">X31*1.039</f>
        <v>537.84407698243319</v>
      </c>
      <c r="AA31" s="5">
        <v>395.22470279166669</v>
      </c>
      <c r="AB31" s="5">
        <v>649.56529</v>
      </c>
      <c r="AC31" s="5">
        <v>667.8719606200001</v>
      </c>
      <c r="AD31" s="5">
        <v>687.25510128740007</v>
      </c>
      <c r="AE31" s="5">
        <v>706.98129402666041</v>
      </c>
      <c r="AG31" s="5">
        <f t="shared" ref="AG31:AG39" si="31">AH31*(AA31/AB31)</f>
        <v>435.99051262587392</v>
      </c>
      <c r="AH31" s="5">
        <f>AB31+67</f>
        <v>716.56529</v>
      </c>
      <c r="AI31" s="5">
        <f t="shared" ref="AI31:AI39" si="32">AH31*1.038</f>
        <v>743.79477101999998</v>
      </c>
      <c r="AJ31" s="5">
        <f t="shared" ref="AJ31:AJ39" si="33">AI31*1.04</f>
        <v>773.54656186080001</v>
      </c>
      <c r="AK31" s="5">
        <f t="shared" ref="AK31:AK39" si="34">AJ31*1.039</f>
        <v>803.7148777733712</v>
      </c>
      <c r="AM31" s="5">
        <f t="shared" ref="AM31:AM39" si="35">AN31*(AG31/AH31)</f>
        <v>469.51690661471713</v>
      </c>
      <c r="AN31" s="5">
        <f>122.101772941295+AB31</f>
        <v>771.66706294129494</v>
      </c>
      <c r="AO31" s="5">
        <f t="shared" ref="AO31:AO39" si="36">AN31*1.038</f>
        <v>800.99041133306423</v>
      </c>
      <c r="AP31" s="5">
        <f t="shared" ref="AP31:AP39" si="37">AO31*1.04</f>
        <v>833.03002778638688</v>
      </c>
      <c r="AQ31" s="5">
        <f t="shared" ref="AQ31:AQ39" si="38">AP31*1.039</f>
        <v>865.51819887005593</v>
      </c>
    </row>
    <row r="32" spans="1:43">
      <c r="A32" s="13" t="s">
        <v>224</v>
      </c>
      <c r="B32" s="4"/>
      <c r="C32" s="144"/>
      <c r="D32" s="151"/>
      <c r="E32" s="151"/>
      <c r="F32" s="151"/>
      <c r="G32" s="151"/>
      <c r="H32" s="151"/>
      <c r="I32" s="147">
        <f t="shared" ref="I32:I57" si="39">P32</f>
        <v>487.79406399999999</v>
      </c>
      <c r="J32" s="147">
        <f t="shared" ref="J32:M57" si="40">V32</f>
        <v>941.74885556514278</v>
      </c>
      <c r="K32" s="147">
        <f t="shared" si="22"/>
        <v>1275.6976666666667</v>
      </c>
      <c r="L32" s="147">
        <f t="shared" si="40"/>
        <v>1016.636724559683</v>
      </c>
      <c r="M32" s="147">
        <f t="shared" si="40"/>
        <v>1056.2855568175105</v>
      </c>
      <c r="N32" s="13"/>
      <c r="O32" s="5">
        <v>472.66866666666664</v>
      </c>
      <c r="P32" s="5">
        <f t="shared" si="23"/>
        <v>487.79406399999999</v>
      </c>
      <c r="Q32" s="5">
        <f t="shared" si="24"/>
        <v>506.33023843199999</v>
      </c>
      <c r="R32" s="5">
        <f t="shared" si="25"/>
        <v>526.58344796927997</v>
      </c>
      <c r="S32" s="5">
        <f t="shared" si="26"/>
        <v>547.12020244008181</v>
      </c>
      <c r="T32" s="13"/>
      <c r="U32" s="5">
        <f t="shared" si="27"/>
        <v>655.87040840553868</v>
      </c>
      <c r="V32" s="5">
        <f>AB32+-333.948811101524</f>
        <v>941.74885556514278</v>
      </c>
      <c r="W32" s="5">
        <f t="shared" si="28"/>
        <v>977.5353120766182</v>
      </c>
      <c r="X32" s="5">
        <f t="shared" si="29"/>
        <v>1016.636724559683</v>
      </c>
      <c r="Y32" s="5">
        <f t="shared" si="30"/>
        <v>1056.2855568175105</v>
      </c>
      <c r="AA32" s="5">
        <v>714.12274861111121</v>
      </c>
      <c r="AB32" s="5">
        <v>1275.6976666666667</v>
      </c>
      <c r="AC32" s="5">
        <v>1322.1124180000002</v>
      </c>
      <c r="AD32" s="5">
        <v>1372.6264061600002</v>
      </c>
      <c r="AE32" s="5">
        <v>1423.87076846016</v>
      </c>
      <c r="AG32" s="5">
        <f t="shared" si="31"/>
        <v>774.58006452948575</v>
      </c>
      <c r="AH32" s="5">
        <f>AB32+108</f>
        <v>1383.6976666666667</v>
      </c>
      <c r="AI32" s="5">
        <f t="shared" si="32"/>
        <v>1436.278178</v>
      </c>
      <c r="AJ32" s="5">
        <f t="shared" si="33"/>
        <v>1493.7293051200002</v>
      </c>
      <c r="AK32" s="5">
        <f t="shared" si="34"/>
        <v>1551.98474801968</v>
      </c>
      <c r="AM32" s="5">
        <f t="shared" si="35"/>
        <v>830.45491946244874</v>
      </c>
      <c r="AN32" s="5">
        <f>207.813963638534+AB32</f>
        <v>1483.5116303052007</v>
      </c>
      <c r="AO32" s="5">
        <f t="shared" si="36"/>
        <v>1539.8850722567984</v>
      </c>
      <c r="AP32" s="5">
        <f t="shared" si="37"/>
        <v>1601.4804751470704</v>
      </c>
      <c r="AQ32" s="5">
        <f t="shared" si="38"/>
        <v>1663.9382136778061</v>
      </c>
    </row>
    <row r="33" spans="1:43">
      <c r="A33" s="13" t="s">
        <v>122</v>
      </c>
      <c r="B33" s="4"/>
      <c r="C33" s="144"/>
      <c r="D33" s="151"/>
      <c r="E33" s="151"/>
      <c r="F33" s="151"/>
      <c r="G33" s="151"/>
      <c r="H33" s="151"/>
      <c r="I33" s="147">
        <f t="shared" si="39"/>
        <v>2028.2582353814173</v>
      </c>
      <c r="J33" s="147">
        <f t="shared" si="40"/>
        <v>2699.8181665446518</v>
      </c>
      <c r="K33" s="147">
        <f t="shared" si="22"/>
        <v>3657.1870675844457</v>
      </c>
      <c r="L33" s="147">
        <f t="shared" si="40"/>
        <v>2914.5077071482824</v>
      </c>
      <c r="M33" s="147">
        <f t="shared" si="40"/>
        <v>3028.173507727065</v>
      </c>
      <c r="N33" s="13"/>
      <c r="O33" s="5">
        <v>1965.3665071525361</v>
      </c>
      <c r="P33" s="5">
        <f t="shared" si="23"/>
        <v>2028.2582353814173</v>
      </c>
      <c r="Q33" s="5">
        <f t="shared" si="24"/>
        <v>2105.3320483259113</v>
      </c>
      <c r="R33" s="5">
        <f t="shared" si="25"/>
        <v>2189.5453302589476</v>
      </c>
      <c r="S33" s="5">
        <f t="shared" si="26"/>
        <v>2274.9375981390463</v>
      </c>
      <c r="T33" s="13"/>
      <c r="U33" s="5">
        <f t="shared" si="27"/>
        <v>2236.2743362860465</v>
      </c>
      <c r="V33" s="5">
        <f>AB33+-957.368901039794</f>
        <v>2699.8181665446518</v>
      </c>
      <c r="W33" s="5">
        <f t="shared" si="28"/>
        <v>2802.4112568733485</v>
      </c>
      <c r="X33" s="5">
        <f t="shared" si="29"/>
        <v>2914.5077071482824</v>
      </c>
      <c r="Y33" s="5">
        <f t="shared" si="30"/>
        <v>3028.173507727065</v>
      </c>
      <c r="AA33" s="5">
        <v>2348.0804496426545</v>
      </c>
      <c r="AB33" s="5">
        <v>3657.1870675844457</v>
      </c>
      <c r="AC33" s="5">
        <v>3741.9426173146371</v>
      </c>
      <c r="AD33" s="5">
        <v>3829.283683733212</v>
      </c>
      <c r="AE33" s="5">
        <v>3918.457038878103</v>
      </c>
      <c r="AG33" s="5">
        <f t="shared" si="31"/>
        <v>2636.9324885512819</v>
      </c>
      <c r="AH33" s="5">
        <f>449.893418814845+AB33</f>
        <v>4107.0804863992907</v>
      </c>
      <c r="AI33" s="5">
        <f t="shared" si="32"/>
        <v>4263.1495448824635</v>
      </c>
      <c r="AJ33" s="5">
        <f t="shared" si="33"/>
        <v>4433.6755266777618</v>
      </c>
      <c r="AK33" s="5">
        <f t="shared" si="34"/>
        <v>4606.5888722181944</v>
      </c>
      <c r="AM33" s="5">
        <f t="shared" si="35"/>
        <v>2853.8986020164766</v>
      </c>
      <c r="AN33" s="5">
        <f>787.822923908985+AB33</f>
        <v>4445.0099914934308</v>
      </c>
      <c r="AO33" s="5">
        <f t="shared" si="36"/>
        <v>4613.9203711701812</v>
      </c>
      <c r="AP33" s="5">
        <f t="shared" si="37"/>
        <v>4798.4771860169885</v>
      </c>
      <c r="AQ33" s="5">
        <f t="shared" si="38"/>
        <v>4985.6177962716511</v>
      </c>
    </row>
    <row r="34" spans="1:43">
      <c r="A34" s="13" t="s">
        <v>225</v>
      </c>
      <c r="B34" s="4"/>
      <c r="C34" s="144"/>
      <c r="D34" s="151"/>
      <c r="E34" s="151"/>
      <c r="F34" s="151"/>
      <c r="G34" s="151"/>
      <c r="H34" s="151"/>
      <c r="I34" s="147">
        <f t="shared" si="39"/>
        <v>59.298720000000003</v>
      </c>
      <c r="J34" s="147">
        <f t="shared" si="40"/>
        <v>232.02336496980149</v>
      </c>
      <c r="K34" s="147">
        <f t="shared" si="22"/>
        <v>314.3</v>
      </c>
      <c r="L34" s="147">
        <f t="shared" si="40"/>
        <v>250.47386295220011</v>
      </c>
      <c r="M34" s="147">
        <f t="shared" si="40"/>
        <v>260.2423436073359</v>
      </c>
      <c r="N34" s="13"/>
      <c r="O34" s="5">
        <v>57.46</v>
      </c>
      <c r="P34" s="5">
        <f t="shared" si="23"/>
        <v>59.298720000000003</v>
      </c>
      <c r="Q34" s="5">
        <f t="shared" si="24"/>
        <v>61.552071360000006</v>
      </c>
      <c r="R34" s="5">
        <f t="shared" si="25"/>
        <v>64.014154214400008</v>
      </c>
      <c r="S34" s="5">
        <f t="shared" si="26"/>
        <v>66.510706228761606</v>
      </c>
      <c r="T34" s="13"/>
      <c r="U34" s="5">
        <f t="shared" si="27"/>
        <v>127.17705150460557</v>
      </c>
      <c r="V34" s="5">
        <f>AB34+-82.2766350301985</f>
        <v>232.02336496980149</v>
      </c>
      <c r="W34" s="5">
        <f t="shared" si="28"/>
        <v>240.84025283865395</v>
      </c>
      <c r="X34" s="5">
        <f t="shared" si="29"/>
        <v>250.47386295220011</v>
      </c>
      <c r="Y34" s="5">
        <f t="shared" si="30"/>
        <v>260.2423436073359</v>
      </c>
      <c r="AA34" s="5">
        <v>164.47666666666666</v>
      </c>
      <c r="AB34" s="5">
        <v>314.3</v>
      </c>
      <c r="AC34" s="5">
        <v>321.21460000000002</v>
      </c>
      <c r="AD34" s="5">
        <v>328.28132120000004</v>
      </c>
      <c r="AE34" s="5">
        <v>335.50351026640004</v>
      </c>
      <c r="AG34" s="5">
        <f t="shared" si="31"/>
        <v>171.35988627635936</v>
      </c>
      <c r="AH34" s="5">
        <f>13.1532087023068+AB34</f>
        <v>327.45320870230682</v>
      </c>
      <c r="AI34" s="5">
        <f t="shared" si="32"/>
        <v>339.89643063299451</v>
      </c>
      <c r="AJ34" s="5">
        <f t="shared" si="33"/>
        <v>353.49228785831428</v>
      </c>
      <c r="AK34" s="5">
        <f t="shared" si="34"/>
        <v>367.27848708478854</v>
      </c>
      <c r="AM34" s="5">
        <f t="shared" si="35"/>
        <v>181.55517157702337</v>
      </c>
      <c r="AN34" s="5">
        <f>32.6354746974755+AB34</f>
        <v>346.93547469747551</v>
      </c>
      <c r="AO34" s="5">
        <f t="shared" si="36"/>
        <v>360.11902273597957</v>
      </c>
      <c r="AP34" s="5">
        <f t="shared" si="37"/>
        <v>374.52378364541875</v>
      </c>
      <c r="AQ34" s="5">
        <f t="shared" si="38"/>
        <v>389.13021120759004</v>
      </c>
    </row>
    <row r="35" spans="1:43">
      <c r="A35" s="13" t="s">
        <v>226</v>
      </c>
      <c r="B35" s="4"/>
      <c r="C35" s="144"/>
      <c r="D35" s="151"/>
      <c r="E35" s="151"/>
      <c r="F35" s="151"/>
      <c r="G35" s="151"/>
      <c r="H35" s="151"/>
      <c r="I35" s="147">
        <f t="shared" si="39"/>
        <v>1382.199524370732</v>
      </c>
      <c r="J35" s="147">
        <f t="shared" si="40"/>
        <v>1780.9528880395633</v>
      </c>
      <c r="K35" s="147">
        <f t="shared" si="22"/>
        <v>2412.4876078048783</v>
      </c>
      <c r="L35" s="147">
        <f t="shared" si="40"/>
        <v>1922.5742616964694</v>
      </c>
      <c r="M35" s="147">
        <f t="shared" si="40"/>
        <v>1997.5546579026316</v>
      </c>
      <c r="N35" s="13"/>
      <c r="O35" s="5">
        <v>1339.3406243902441</v>
      </c>
      <c r="P35" s="5">
        <f t="shared" si="23"/>
        <v>1382.199524370732</v>
      </c>
      <c r="Q35" s="5">
        <f t="shared" si="24"/>
        <v>1434.7231062968199</v>
      </c>
      <c r="R35" s="5">
        <f t="shared" si="25"/>
        <v>1492.1120305486927</v>
      </c>
      <c r="S35" s="5">
        <f t="shared" si="26"/>
        <v>1550.3043997400916</v>
      </c>
      <c r="T35" s="13"/>
      <c r="U35" s="5">
        <f t="shared" si="27"/>
        <v>1500.1827529785721</v>
      </c>
      <c r="V35" s="5">
        <f>AB35+-631.534719765315</f>
        <v>1780.9528880395633</v>
      </c>
      <c r="W35" s="5">
        <f t="shared" si="28"/>
        <v>1848.6290977850667</v>
      </c>
      <c r="X35" s="5">
        <f t="shared" si="29"/>
        <v>1922.5742616964694</v>
      </c>
      <c r="Y35" s="5">
        <f t="shared" si="30"/>
        <v>1997.5546579026316</v>
      </c>
      <c r="AA35" s="5">
        <v>1563.6597638389512</v>
      </c>
      <c r="AB35" s="5">
        <v>2412.4876078048783</v>
      </c>
      <c r="AC35" s="5">
        <v>2465.5623351765853</v>
      </c>
      <c r="AD35" s="5">
        <v>2519.8047065504702</v>
      </c>
      <c r="AE35" s="5">
        <v>2575.2404100945805</v>
      </c>
      <c r="AG35" s="5">
        <f t="shared" si="31"/>
        <v>1762.3764340009168</v>
      </c>
      <c r="AH35" s="5">
        <f>306.589397077667+AB35</f>
        <v>2719.0770048825452</v>
      </c>
      <c r="AI35" s="5">
        <f t="shared" si="32"/>
        <v>2822.4019310680819</v>
      </c>
      <c r="AJ35" s="5">
        <f t="shared" si="33"/>
        <v>2935.2980083108055</v>
      </c>
      <c r="AK35" s="5">
        <f t="shared" si="34"/>
        <v>3049.7746306349268</v>
      </c>
      <c r="AM35" s="5">
        <f t="shared" si="35"/>
        <v>1909.2445801939566</v>
      </c>
      <c r="AN35" s="5">
        <f>533.184460061251+AB35</f>
        <v>2945.6720678661295</v>
      </c>
      <c r="AO35" s="5">
        <f t="shared" si="36"/>
        <v>3057.6076064450426</v>
      </c>
      <c r="AP35" s="5">
        <f t="shared" si="37"/>
        <v>3179.9119107028446</v>
      </c>
      <c r="AQ35" s="5">
        <f t="shared" si="38"/>
        <v>3303.9284752202552</v>
      </c>
    </row>
    <row r="36" spans="1:43">
      <c r="A36" s="13" t="s">
        <v>227</v>
      </c>
      <c r="B36" s="4"/>
      <c r="C36" s="144"/>
      <c r="D36" s="151"/>
      <c r="E36" s="151"/>
      <c r="F36" s="151"/>
      <c r="G36" s="151"/>
      <c r="H36" s="151"/>
      <c r="I36" s="147">
        <f t="shared" si="39"/>
        <v>4389.5154229631999</v>
      </c>
      <c r="J36" s="147">
        <f t="shared" si="40"/>
        <v>7192.7305367699346</v>
      </c>
      <c r="K36" s="147">
        <f t="shared" si="22"/>
        <v>10285.150411543194</v>
      </c>
      <c r="L36" s="147">
        <f t="shared" si="40"/>
        <v>7764.6964690538798</v>
      </c>
      <c r="M36" s="147">
        <f t="shared" si="40"/>
        <v>8067.5196313469805</v>
      </c>
      <c r="N36" s="13"/>
      <c r="O36" s="5">
        <v>4253.4064176000002</v>
      </c>
      <c r="P36" s="5">
        <f t="shared" si="23"/>
        <v>4389.5154229631999</v>
      </c>
      <c r="Q36" s="5">
        <f t="shared" si="24"/>
        <v>4556.3170090358017</v>
      </c>
      <c r="R36" s="5">
        <f t="shared" si="25"/>
        <v>4738.5696893972336</v>
      </c>
      <c r="S36" s="5">
        <f t="shared" si="26"/>
        <v>4923.3739072837252</v>
      </c>
      <c r="T36" s="13"/>
      <c r="U36" s="5">
        <f t="shared" si="27"/>
        <v>5384.5765187714487</v>
      </c>
      <c r="V36" s="5">
        <f>AB36+-2692.41987477326-400</f>
        <v>7192.7305367699346</v>
      </c>
      <c r="W36" s="5">
        <f t="shared" si="28"/>
        <v>7466.0542971671921</v>
      </c>
      <c r="X36" s="5">
        <f t="shared" si="29"/>
        <v>7764.6964690538798</v>
      </c>
      <c r="Y36" s="5">
        <f t="shared" si="30"/>
        <v>8067.5196313469805</v>
      </c>
      <c r="AA36" s="5">
        <v>5496.2773182114151</v>
      </c>
      <c r="AB36" s="5">
        <v>10285.150411543194</v>
      </c>
      <c r="AC36" s="5">
        <v>10541.519918725444</v>
      </c>
      <c r="AD36" s="5">
        <v>10808.578192301726</v>
      </c>
      <c r="AE36" s="5">
        <v>11080.886950823537</v>
      </c>
      <c r="AG36" s="5">
        <f t="shared" si="31"/>
        <v>6069.9206543532673</v>
      </c>
      <c r="AH36" s="5">
        <f>1073.45529586894+AB36</f>
        <v>11358.605707412135</v>
      </c>
      <c r="AI36" s="5">
        <f t="shared" si="32"/>
        <v>11790.232724293795</v>
      </c>
      <c r="AJ36" s="5">
        <f t="shared" si="33"/>
        <v>12261.842033265548</v>
      </c>
      <c r="AK36" s="5">
        <f t="shared" si="34"/>
        <v>12740.053872562903</v>
      </c>
      <c r="AM36" s="5">
        <f t="shared" si="35"/>
        <v>6539.38004096039</v>
      </c>
      <c r="AN36" s="5">
        <f>1951.95179883221+AB36</f>
        <v>12237.102210375404</v>
      </c>
      <c r="AO36" s="5">
        <f t="shared" si="36"/>
        <v>12702.11209436967</v>
      </c>
      <c r="AP36" s="5">
        <f t="shared" si="37"/>
        <v>13210.196578144456</v>
      </c>
      <c r="AQ36" s="5">
        <f t="shared" si="38"/>
        <v>13725.394244692088</v>
      </c>
    </row>
    <row r="37" spans="1:43">
      <c r="A37" s="13" t="s">
        <v>228</v>
      </c>
      <c r="B37" s="4"/>
      <c r="C37" s="144"/>
      <c r="D37" s="151"/>
      <c r="E37" s="151"/>
      <c r="F37" s="151"/>
      <c r="G37" s="151"/>
      <c r="H37" s="151"/>
      <c r="I37" s="147">
        <f t="shared" si="39"/>
        <v>67.321488000000002</v>
      </c>
      <c r="J37" s="147">
        <f t="shared" si="40"/>
        <v>95.820555996548705</v>
      </c>
      <c r="K37" s="147">
        <f t="shared" si="22"/>
        <v>129.79900000000001</v>
      </c>
      <c r="L37" s="147">
        <f t="shared" si="40"/>
        <v>103.44020660939425</v>
      </c>
      <c r="M37" s="147">
        <f t="shared" si="40"/>
        <v>107.47437466716062</v>
      </c>
      <c r="N37" s="13"/>
      <c r="O37" s="5">
        <v>65.233999999999995</v>
      </c>
      <c r="P37" s="5">
        <f t="shared" si="23"/>
        <v>67.321488000000002</v>
      </c>
      <c r="Q37" s="5">
        <f t="shared" si="24"/>
        <v>69.879704544000006</v>
      </c>
      <c r="R37" s="5">
        <f t="shared" si="25"/>
        <v>72.674892725760003</v>
      </c>
      <c r="S37" s="5">
        <f t="shared" si="26"/>
        <v>75.509213542064643</v>
      </c>
      <c r="T37" s="13"/>
      <c r="U37" s="5">
        <f t="shared" si="27"/>
        <v>76.732161130277746</v>
      </c>
      <c r="V37" s="5">
        <f>AB37+-33.9784440034513</f>
        <v>95.820555996548705</v>
      </c>
      <c r="W37" s="5">
        <f t="shared" si="28"/>
        <v>99.461737124417553</v>
      </c>
      <c r="X37" s="5">
        <f t="shared" si="29"/>
        <v>103.44020660939425</v>
      </c>
      <c r="Y37" s="5">
        <f t="shared" si="30"/>
        <v>107.47437466716062</v>
      </c>
      <c r="AA37" s="5">
        <v>79.331983333333312</v>
      </c>
      <c r="AB37" s="5">
        <v>129.79900000000001</v>
      </c>
      <c r="AC37" s="5">
        <v>134.379762</v>
      </c>
      <c r="AD37" s="5">
        <v>139.35070038000001</v>
      </c>
      <c r="AE37" s="5">
        <v>144.39518458452</v>
      </c>
      <c r="AG37" s="5">
        <f t="shared" si="31"/>
        <v>88.458752449899166</v>
      </c>
      <c r="AH37" s="5">
        <f>14.932760467913+AB37</f>
        <v>144.73176046791301</v>
      </c>
      <c r="AI37" s="5">
        <f t="shared" si="32"/>
        <v>150.23156736569371</v>
      </c>
      <c r="AJ37" s="5">
        <f t="shared" si="33"/>
        <v>156.24083006032146</v>
      </c>
      <c r="AK37" s="5">
        <f t="shared" si="34"/>
        <v>162.33422243267398</v>
      </c>
      <c r="AM37" s="5">
        <f t="shared" si="35"/>
        <v>95.552186935258945</v>
      </c>
      <c r="AN37" s="5">
        <f>26.5386811077207+AB37</f>
        <v>156.3376811077207</v>
      </c>
      <c r="AO37" s="5">
        <f t="shared" si="36"/>
        <v>162.27851298981409</v>
      </c>
      <c r="AP37" s="5">
        <f t="shared" si="37"/>
        <v>168.76965350940665</v>
      </c>
      <c r="AQ37" s="5">
        <f t="shared" si="38"/>
        <v>175.3516699962735</v>
      </c>
    </row>
    <row r="38" spans="1:43">
      <c r="A38" s="13" t="s">
        <v>233</v>
      </c>
      <c r="B38" s="4"/>
      <c r="C38" s="144"/>
      <c r="D38" s="151"/>
      <c r="E38" s="151"/>
      <c r="F38" s="151"/>
      <c r="G38" s="151"/>
      <c r="H38" s="151"/>
      <c r="I38" s="147">
        <f t="shared" si="39"/>
        <v>42.311999999999998</v>
      </c>
      <c r="J38" s="147">
        <f t="shared" si="40"/>
        <v>164.04066550184444</v>
      </c>
      <c r="K38" s="147">
        <f t="shared" si="22"/>
        <v>228.83226428361775</v>
      </c>
      <c r="L38" s="147">
        <f t="shared" si="40"/>
        <v>177.08517922255112</v>
      </c>
      <c r="M38" s="147">
        <f t="shared" si="40"/>
        <v>183.99150121223059</v>
      </c>
      <c r="N38" s="13"/>
      <c r="O38" s="5">
        <v>41</v>
      </c>
      <c r="P38" s="5">
        <f t="shared" si="23"/>
        <v>42.311999999999998</v>
      </c>
      <c r="Q38" s="5">
        <f t="shared" si="24"/>
        <v>43.919855999999996</v>
      </c>
      <c r="R38" s="5">
        <f t="shared" si="25"/>
        <v>45.676650239999994</v>
      </c>
      <c r="S38" s="5">
        <f t="shared" si="26"/>
        <v>47.458039599359992</v>
      </c>
      <c r="T38" s="13"/>
      <c r="U38" s="5">
        <f>AA38/SUM(AA30:AA37)*SUM(U30:U37)</f>
        <v>52.403851360826806</v>
      </c>
      <c r="V38" s="5">
        <f>AB38*SUM(V30:V37)/SUM(AB30:AB37)</f>
        <v>164.04066550184444</v>
      </c>
      <c r="W38" s="5">
        <f t="shared" si="28"/>
        <v>170.27421079091454</v>
      </c>
      <c r="X38" s="5">
        <f t="shared" si="29"/>
        <v>177.08517922255112</v>
      </c>
      <c r="Y38" s="5">
        <f t="shared" si="30"/>
        <v>183.99150121223059</v>
      </c>
      <c r="AA38" s="5">
        <v>54.512232128582163</v>
      </c>
      <c r="AB38" s="5">
        <v>228.83226428361775</v>
      </c>
      <c r="AC38" s="5">
        <v>241.17078278492903</v>
      </c>
      <c r="AD38" s="5">
        <v>253.72908579136285</v>
      </c>
      <c r="AE38" s="5">
        <v>266.34173327146868</v>
      </c>
      <c r="AG38" s="5">
        <f t="shared" si="31"/>
        <v>60.431030117765353</v>
      </c>
      <c r="AH38" s="5">
        <f>SUM(AH31:AH37)/SUM(AB30:AB37)*AB38</f>
        <v>253.67828310939905</v>
      </c>
      <c r="AI38" s="5">
        <f t="shared" si="32"/>
        <v>263.31805786755621</v>
      </c>
      <c r="AJ38" s="5">
        <f t="shared" si="33"/>
        <v>273.85078018225846</v>
      </c>
      <c r="AK38" s="5">
        <f t="shared" si="34"/>
        <v>284.5309606093665</v>
      </c>
      <c r="AM38" s="5">
        <f t="shared" si="35"/>
        <v>65.173654639906687</v>
      </c>
      <c r="AN38" s="5">
        <f>SUM(AN31:AN37)/SUM(AH30:AH37)*AH38</f>
        <v>273.58694334346751</v>
      </c>
      <c r="AO38" s="5">
        <f t="shared" si="36"/>
        <v>283.98324719051931</v>
      </c>
      <c r="AP38" s="5">
        <f t="shared" si="37"/>
        <v>295.3425770781401</v>
      </c>
      <c r="AQ38" s="5">
        <f t="shared" si="38"/>
        <v>306.86093758418752</v>
      </c>
    </row>
    <row r="39" spans="1:43">
      <c r="A39" s="13" t="s">
        <v>247</v>
      </c>
      <c r="B39" s="4"/>
      <c r="C39" s="144"/>
      <c r="D39" s="151"/>
      <c r="E39" s="151"/>
      <c r="F39" s="151"/>
      <c r="G39" s="151"/>
      <c r="H39" s="151"/>
      <c r="I39" s="147">
        <f t="shared" si="39"/>
        <v>12.380717361021</v>
      </c>
      <c r="J39" s="147">
        <f t="shared" si="40"/>
        <v>19.298901823746412</v>
      </c>
      <c r="K39" s="147">
        <f t="shared" si="22"/>
        <v>26.921442856896206</v>
      </c>
      <c r="L39" s="147">
        <f t="shared" si="40"/>
        <v>20.83355049677073</v>
      </c>
      <c r="M39" s="147">
        <f t="shared" si="40"/>
        <v>21.646058966144786</v>
      </c>
      <c r="N39" s="13"/>
      <c r="O39" s="5">
        <f>AB39/SUM(AB31:AB38)*SUM(O31:O37)</f>
        <v>11.996819148276163</v>
      </c>
      <c r="P39" s="5">
        <f t="shared" si="23"/>
        <v>12.380717361021</v>
      </c>
      <c r="Q39" s="5">
        <f t="shared" si="24"/>
        <v>12.851184620739799</v>
      </c>
      <c r="R39" s="5">
        <f t="shared" si="25"/>
        <v>13.365232005569391</v>
      </c>
      <c r="S39" s="5">
        <f t="shared" si="26"/>
        <v>13.886476053786597</v>
      </c>
      <c r="T39" s="13"/>
      <c r="U39" s="5">
        <f>AA39/SUM(AA31:AA38)*SUM(U31:U38)</f>
        <v>6.1651589836266849</v>
      </c>
      <c r="V39" s="5">
        <f>AB39*SUM(V31:V38)/SUM(AB31:AB38)</f>
        <v>19.298901823746412</v>
      </c>
      <c r="W39" s="5">
        <f t="shared" si="28"/>
        <v>20.032260093048777</v>
      </c>
      <c r="X39" s="5">
        <f t="shared" si="29"/>
        <v>20.83355049677073</v>
      </c>
      <c r="Y39" s="5">
        <f t="shared" si="30"/>
        <v>21.646058966144786</v>
      </c>
      <c r="AA39" s="5">
        <v>6.4132037798331964</v>
      </c>
      <c r="AB39" s="5">
        <v>26.921442856896206</v>
      </c>
      <c r="AC39" s="5">
        <v>28.373033268815178</v>
      </c>
      <c r="AD39" s="5">
        <v>29.850480681336805</v>
      </c>
      <c r="AE39" s="5">
        <v>31.33432156134926</v>
      </c>
      <c r="AG39" s="5">
        <f t="shared" si="31"/>
        <v>7.0236948889336368</v>
      </c>
      <c r="AH39" s="5">
        <f>SUM(AH31:AH37)/SUM(AB31:AB38)*AB39</f>
        <v>29.484171576038538</v>
      </c>
      <c r="AI39" s="5">
        <f t="shared" si="32"/>
        <v>30.604570095928004</v>
      </c>
      <c r="AJ39" s="5">
        <f t="shared" si="33"/>
        <v>31.828752899765124</v>
      </c>
      <c r="AK39" s="5">
        <f t="shared" si="34"/>
        <v>33.070074262855961</v>
      </c>
      <c r="AM39" s="5">
        <f t="shared" si="35"/>
        <v>7.4834572282698293</v>
      </c>
      <c r="AN39" s="5">
        <f>SUM(AN31:AN37)/SUM(AH31:AH38)*AH39</f>
        <v>31.414168808484838</v>
      </c>
      <c r="AO39" s="5">
        <f t="shared" si="36"/>
        <v>32.607907223207263</v>
      </c>
      <c r="AP39" s="5">
        <f t="shared" si="37"/>
        <v>33.912223512135554</v>
      </c>
      <c r="AQ39" s="5">
        <f t="shared" si="38"/>
        <v>35.234800229108835</v>
      </c>
    </row>
    <row r="40" spans="1:43">
      <c r="A40" s="13"/>
      <c r="B40" s="4"/>
      <c r="C40" s="144"/>
      <c r="D40" s="152"/>
      <c r="E40" s="153"/>
      <c r="F40" s="153"/>
      <c r="G40" s="153"/>
      <c r="H40" s="153"/>
      <c r="I40" s="147">
        <f t="shared" si="39"/>
        <v>0</v>
      </c>
      <c r="J40" s="147">
        <f t="shared" si="40"/>
        <v>0</v>
      </c>
      <c r="K40" s="4"/>
      <c r="L40" s="147">
        <f t="shared" si="40"/>
        <v>0</v>
      </c>
      <c r="M40" s="147">
        <f t="shared" si="40"/>
        <v>0</v>
      </c>
      <c r="N40" s="13"/>
      <c r="O40" s="5"/>
      <c r="P40" s="5"/>
      <c r="Q40" s="5"/>
      <c r="R40" s="5"/>
      <c r="S40" s="5"/>
      <c r="T40" s="13"/>
      <c r="U40" s="5"/>
      <c r="V40" s="5"/>
      <c r="W40" s="5"/>
      <c r="X40" s="5"/>
      <c r="Y40" s="5"/>
      <c r="AA40" s="5"/>
      <c r="AB40" s="5"/>
      <c r="AC40" s="5"/>
      <c r="AD40" s="5"/>
      <c r="AE40" s="5"/>
      <c r="AG40" s="5"/>
      <c r="AH40" s="5"/>
      <c r="AI40" s="5"/>
      <c r="AJ40" s="5"/>
      <c r="AK40" s="5"/>
      <c r="AM40" s="5"/>
      <c r="AN40" s="5"/>
      <c r="AO40" s="5"/>
      <c r="AP40" s="5"/>
      <c r="AQ40" s="5"/>
    </row>
    <row r="41" spans="1:43">
      <c r="A41" s="17" t="s">
        <v>108</v>
      </c>
      <c r="B41" s="4"/>
      <c r="C41" s="144"/>
      <c r="D41" s="152"/>
      <c r="E41" s="153"/>
      <c r="F41" s="153"/>
      <c r="G41" s="153"/>
      <c r="H41" s="153"/>
      <c r="I41" s="147">
        <f t="shared" si="39"/>
        <v>0</v>
      </c>
      <c r="J41" s="147">
        <f t="shared" si="40"/>
        <v>0</v>
      </c>
      <c r="K41" s="4"/>
      <c r="L41" s="147">
        <f t="shared" si="40"/>
        <v>0</v>
      </c>
      <c r="M41" s="147">
        <f t="shared" si="40"/>
        <v>0</v>
      </c>
      <c r="N41" s="13"/>
      <c r="O41" s="5"/>
      <c r="P41" s="5"/>
      <c r="Q41" s="5"/>
      <c r="R41" s="5"/>
      <c r="S41" s="5"/>
      <c r="T41" s="13"/>
      <c r="U41" s="5"/>
      <c r="V41" s="5"/>
      <c r="W41" s="5"/>
      <c r="X41" s="5"/>
      <c r="Y41" s="5"/>
      <c r="AA41" s="5"/>
      <c r="AB41" s="5"/>
      <c r="AC41" s="5"/>
      <c r="AD41" s="5"/>
      <c r="AE41" s="5"/>
      <c r="AG41" s="5"/>
      <c r="AH41" s="5"/>
      <c r="AI41" s="5"/>
      <c r="AJ41" s="5"/>
      <c r="AK41" s="5"/>
      <c r="AM41" s="5"/>
      <c r="AN41" s="5"/>
      <c r="AO41" s="5"/>
      <c r="AP41" s="5"/>
      <c r="AQ41" s="5"/>
    </row>
    <row r="42" spans="1:43">
      <c r="A42" s="13" t="s">
        <v>121</v>
      </c>
      <c r="B42" s="4"/>
      <c r="C42" s="144"/>
      <c r="D42" s="152"/>
      <c r="E42" s="153"/>
      <c r="F42" s="153"/>
      <c r="G42" s="153"/>
      <c r="H42" s="153"/>
      <c r="I42" s="147">
        <f t="shared" si="39"/>
        <v>2697.8037532077583</v>
      </c>
      <c r="J42" s="147">
        <f t="shared" si="40"/>
        <v>4380.809330747592</v>
      </c>
      <c r="K42" s="147">
        <f t="shared" ref="K42:K57" si="41">AB42</f>
        <v>6373.9228721200698</v>
      </c>
      <c r="L42" s="147">
        <f t="shared" si="40"/>
        <v>4699.3759511300887</v>
      </c>
      <c r="M42" s="147">
        <f t="shared" si="40"/>
        <v>4862.4689339716206</v>
      </c>
      <c r="N42" s="13"/>
      <c r="O42" s="5">
        <f>O26*-0.222</f>
        <v>2613.7673621382073</v>
      </c>
      <c r="P42" s="5">
        <f>P26*-0.222</f>
        <v>2697.8037532077583</v>
      </c>
      <c r="Q42" s="5">
        <f>Q26*-0.222</f>
        <v>2793.4511143833779</v>
      </c>
      <c r="R42" s="5">
        <f>R26*-0.222</f>
        <v>2893.0635341079374</v>
      </c>
      <c r="S42" s="5">
        <f>S26*-0.222</f>
        <v>2993.0162262434992</v>
      </c>
      <c r="T42" s="13"/>
      <c r="U42" s="5">
        <f>((7/12)*O42)+((5/12)*V42)</f>
        <v>3350.0348490587844</v>
      </c>
      <c r="V42" s="5">
        <f>V26*-0.21</f>
        <v>4380.809330747592</v>
      </c>
      <c r="W42" s="5">
        <f>W26*-0.21</f>
        <v>4536.8841275208833</v>
      </c>
      <c r="X42" s="5">
        <f>X26*-0.21</f>
        <v>4699.3759511300887</v>
      </c>
      <c r="Y42" s="5">
        <f>Y26*-0.21</f>
        <v>4862.4689339716206</v>
      </c>
      <c r="AA42" s="5">
        <v>3954.8019118196589</v>
      </c>
      <c r="AB42" s="5">
        <v>6373.9228721200698</v>
      </c>
      <c r="AC42" s="5">
        <v>6630.7919638665089</v>
      </c>
      <c r="AD42" s="5">
        <v>6921.2339134677904</v>
      </c>
      <c r="AE42" s="5">
        <v>7222.2591400662441</v>
      </c>
      <c r="AG42" s="5">
        <f>AG26*-0.21</f>
        <v>4148.3343283515851</v>
      </c>
      <c r="AH42" s="5">
        <f>AH26*-0.21</f>
        <v>7145.5565398981289</v>
      </c>
      <c r="AI42" s="5">
        <f>AI26*-0.21</f>
        <v>7401.0554121401274</v>
      </c>
      <c r="AJ42" s="5">
        <f>AJ26*-0.21</f>
        <v>7667.1146700402569</v>
      </c>
      <c r="AK42" s="5">
        <f>AK26*-0.21</f>
        <v>7934.1309156118532</v>
      </c>
      <c r="AM42" s="5">
        <f>AM26*-0.21</f>
        <v>4798.8410659807341</v>
      </c>
      <c r="AN42" s="5">
        <f>AN26*-0.21</f>
        <v>7908.8630654471472</v>
      </c>
      <c r="AO42" s="5">
        <f>AO26*-0.21</f>
        <v>8191.8368028843879</v>
      </c>
      <c r="AP42" s="5">
        <f>AP26*-0.21</f>
        <v>8486.5259850588754</v>
      </c>
      <c r="AQ42" s="5">
        <f>AQ26*-0.21</f>
        <v>8782.263823511239</v>
      </c>
    </row>
    <row r="43" spans="1:43">
      <c r="A43" s="13" t="s">
        <v>7</v>
      </c>
      <c r="B43" s="4"/>
      <c r="C43" s="144"/>
      <c r="D43" s="152"/>
      <c r="E43" s="153"/>
      <c r="F43" s="153"/>
      <c r="G43" s="153"/>
      <c r="H43" s="153"/>
      <c r="I43" s="147">
        <f t="shared" si="39"/>
        <v>243.04538317187013</v>
      </c>
      <c r="J43" s="147">
        <f t="shared" si="40"/>
        <v>354.6369458224242</v>
      </c>
      <c r="K43" s="147">
        <f t="shared" si="41"/>
        <v>530.91771415263031</v>
      </c>
      <c r="L43" s="147">
        <f t="shared" si="40"/>
        <v>380.42567223434054</v>
      </c>
      <c r="M43" s="147">
        <f t="shared" si="40"/>
        <v>393.62843751198835</v>
      </c>
      <c r="N43" s="13"/>
      <c r="O43" s="5">
        <f>-O26*0.02</f>
        <v>235.47453712956823</v>
      </c>
      <c r="P43" s="5">
        <f>-P26*0.02</f>
        <v>243.04538317187013</v>
      </c>
      <c r="Q43" s="5">
        <f>-Q26*0.02</f>
        <v>251.66226255706107</v>
      </c>
      <c r="R43" s="5">
        <f>-R26*0.02</f>
        <v>260.63635442413852</v>
      </c>
      <c r="S43" s="5">
        <f>-S26*0.02</f>
        <v>269.64110146337828</v>
      </c>
      <c r="T43" s="13"/>
      <c r="U43" s="5">
        <f>((7/12)*O43)+((5/12)*V43)</f>
        <v>285.12554075159153</v>
      </c>
      <c r="V43" s="5">
        <f>-V26*0.017</f>
        <v>354.6369458224242</v>
      </c>
      <c r="W43" s="5">
        <f>-W26*0.017</f>
        <v>367.27157222788105</v>
      </c>
      <c r="X43" s="5">
        <f>-X26*0.017</f>
        <v>380.42567223434054</v>
      </c>
      <c r="Y43" s="5">
        <f>-Y26*0.017</f>
        <v>393.62843751198835</v>
      </c>
      <c r="AA43" s="5">
        <v>351.01528001905854</v>
      </c>
      <c r="AB43" s="5">
        <v>530.91771415263031</v>
      </c>
      <c r="AC43" s="5">
        <v>552.31369803298139</v>
      </c>
      <c r="AD43" s="5">
        <v>576.5061426342221</v>
      </c>
      <c r="AE43" s="5">
        <v>601.58012429581231</v>
      </c>
      <c r="AG43" s="5">
        <f>-AG26*0.017</f>
        <v>335.81754086655695</v>
      </c>
      <c r="AH43" s="5">
        <f>-AH26*0.017</f>
        <v>578.4498151346105</v>
      </c>
      <c r="AI43" s="5">
        <f>-AI26*0.017</f>
        <v>599.13305717324852</v>
      </c>
      <c r="AJ43" s="5">
        <f>-AJ26*0.017</f>
        <v>620.67118757468756</v>
      </c>
      <c r="AK43" s="5">
        <f>-AK26*0.017</f>
        <v>642.28678840667385</v>
      </c>
      <c r="AM43" s="5">
        <f>-AM26*0.017</f>
        <v>388.47761010320232</v>
      </c>
      <c r="AN43" s="5">
        <f>-AN26*0.017</f>
        <v>640.24129577429289</v>
      </c>
      <c r="AO43" s="5">
        <f>-AO26*0.017</f>
        <v>663.14869356683141</v>
      </c>
      <c r="AP43" s="5">
        <f>-AP26*0.017</f>
        <v>687.00448450476608</v>
      </c>
      <c r="AQ43" s="5">
        <f>-AQ26*0.017</f>
        <v>710.94516666519553</v>
      </c>
    </row>
    <row r="44" spans="1:43">
      <c r="A44" s="13" t="s">
        <v>229</v>
      </c>
      <c r="B44" s="4"/>
      <c r="C44" s="144"/>
      <c r="D44" s="152"/>
      <c r="E44" s="153"/>
      <c r="F44" s="153"/>
      <c r="G44" s="153"/>
      <c r="H44" s="153"/>
      <c r="I44" s="147">
        <f t="shared" si="39"/>
        <v>2551.9765233046364</v>
      </c>
      <c r="J44" s="147">
        <f t="shared" si="40"/>
        <v>2634.170983028353</v>
      </c>
      <c r="K44" s="147">
        <f t="shared" si="41"/>
        <v>3807.1247871106998</v>
      </c>
      <c r="L44" s="147">
        <f t="shared" si="40"/>
        <v>2696.9114761693922</v>
      </c>
      <c r="M44" s="147">
        <f t="shared" si="40"/>
        <v>2729.3944605844385</v>
      </c>
      <c r="N44" s="13"/>
      <c r="O44" s="5">
        <f>-0.21*O26</f>
        <v>2472.4826398604664</v>
      </c>
      <c r="P44" s="5">
        <f>-0.21*P26</f>
        <v>2551.9765233046364</v>
      </c>
      <c r="Q44" s="5">
        <f>-0.21*Q26</f>
        <v>2642.4537568491414</v>
      </c>
      <c r="R44" s="5">
        <f>-0.21*R26</f>
        <v>2736.6817214534544</v>
      </c>
      <c r="S44" s="5">
        <f>-0.21*S26</f>
        <v>2831.2315653654719</v>
      </c>
      <c r="T44" s="13"/>
      <c r="U44" s="5">
        <f>(SUM(U31:U39)*0.091)+1811.98-U45-U46-150</f>
        <v>2350.6593432698933</v>
      </c>
      <c r="V44" s="5">
        <f>(SUM(V31:V39)*0.091)+1811.98-V45-V46</f>
        <v>2634.170983028353</v>
      </c>
      <c r="W44" s="5">
        <f>(SUM(W31:W39)*0.091)+1811.98-W45-W46</f>
        <v>2664.4575526944027</v>
      </c>
      <c r="X44" s="5">
        <f>(SUM(X31:X39)*0.091)+1811.98-X45-X46</f>
        <v>2696.9114761693922</v>
      </c>
      <c r="Y44" s="5">
        <f>(SUM(Y31:Y39)*0.091)+1811.98-Y45-Y46</f>
        <v>2729.3944605844385</v>
      </c>
      <c r="AA44" s="5">
        <v>2437.6680132754382</v>
      </c>
      <c r="AB44" s="5">
        <v>3807.1247871106998</v>
      </c>
      <c r="AC44" s="5">
        <v>3967.2438551939736</v>
      </c>
      <c r="AD44" s="5">
        <v>4139.2856505174741</v>
      </c>
      <c r="AE44" s="5">
        <v>4315.7593063671493</v>
      </c>
      <c r="AG44" s="5">
        <f>(SUM(AG31:AG39)*0.091)+1811.98</f>
        <v>2904.6236901192342</v>
      </c>
      <c r="AH44" s="5">
        <f>(SUM(AH31:AH39)*0.091)+1811.98</f>
        <v>3726.6539957086825</v>
      </c>
      <c r="AI44" s="5">
        <f>(SUM(AI31:AI39)*0.091)+1811.98</f>
        <v>3799.4116075456122</v>
      </c>
      <c r="AJ44" s="5">
        <f>(SUM(AJ31:AJ39)*0.091)+1811.98</f>
        <v>3878.9088718474372</v>
      </c>
      <c r="AK44" s="5">
        <f>(SUM(AK31:AK39)*0.091)+1811.98</f>
        <v>3959.5190978494866</v>
      </c>
      <c r="AM44" s="5">
        <f>(SUM(AM31:AM39)*0.091)+1811.98</f>
        <v>2990.6356162861889</v>
      </c>
      <c r="AN44" s="5">
        <f>(SUM(AN31:AN39)*0.091)+1811.98</f>
        <v>3876.8825880154136</v>
      </c>
      <c r="AO44" s="5">
        <f>(SUM(AO31:AO39)*0.091)+1811.98</f>
        <v>3955.3488863599991</v>
      </c>
      <c r="AP44" s="5">
        <f>(SUM(AP31:AP39)*0.091)+1811.98</f>
        <v>4041.083641814399</v>
      </c>
      <c r="AQ44" s="5">
        <f>(SUM(AQ31:AQ39)*0.091)+1811.98</f>
        <v>4128.0186838451609</v>
      </c>
    </row>
    <row r="45" spans="1:43">
      <c r="A45" s="13" t="s">
        <v>230</v>
      </c>
      <c r="B45" s="4"/>
      <c r="C45" s="144"/>
      <c r="D45" s="152"/>
      <c r="E45" s="153"/>
      <c r="F45" s="153"/>
      <c r="G45" s="153"/>
      <c r="H45" s="153"/>
      <c r="I45" s="147">
        <f t="shared" si="39"/>
        <v>0</v>
      </c>
      <c r="J45" s="147">
        <f t="shared" si="40"/>
        <v>357.38760592134145</v>
      </c>
      <c r="K45" s="147">
        <f t="shared" si="41"/>
        <v>714.77521184268289</v>
      </c>
      <c r="L45" s="147">
        <f t="shared" si="40"/>
        <v>388.0754863186952</v>
      </c>
      <c r="M45" s="147">
        <f t="shared" si="40"/>
        <v>404.95405344515416</v>
      </c>
      <c r="N45" s="13"/>
      <c r="O45" s="5">
        <v>0</v>
      </c>
      <c r="P45" s="5">
        <v>0</v>
      </c>
      <c r="Q45" s="5">
        <v>0</v>
      </c>
      <c r="R45" s="5">
        <v>0</v>
      </c>
      <c r="S45" s="5">
        <v>0</v>
      </c>
      <c r="T45" s="13"/>
      <c r="U45" s="5">
        <f>AA45*0.5</f>
        <v>239.74082114646501</v>
      </c>
      <c r="V45" s="5">
        <f>AB45*0.5</f>
        <v>357.38760592134145</v>
      </c>
      <c r="W45" s="5">
        <f>AC45*0.5</f>
        <v>371.79032643997152</v>
      </c>
      <c r="X45" s="5">
        <f>AD45*0.5</f>
        <v>388.0754863186952</v>
      </c>
      <c r="Y45" s="5">
        <f>AE45*0.5</f>
        <v>404.95405344515416</v>
      </c>
      <c r="AA45" s="5">
        <v>479.48164229293002</v>
      </c>
      <c r="AB45" s="5">
        <v>714.77521184268289</v>
      </c>
      <c r="AC45" s="5">
        <v>743.58065287994305</v>
      </c>
      <c r="AD45" s="5">
        <v>776.1509726373904</v>
      </c>
      <c r="AE45" s="5">
        <v>809.90810689030832</v>
      </c>
      <c r="AG45" s="5">
        <f>AA45/2*4</f>
        <v>958.96328458586004</v>
      </c>
      <c r="AH45" s="5">
        <f>AB45/2*4</f>
        <v>1429.5504236853658</v>
      </c>
      <c r="AI45" s="5">
        <f>AC45/2*4</f>
        <v>1487.1613057598861</v>
      </c>
      <c r="AJ45" s="5">
        <f>AD45/2*4</f>
        <v>1552.3019452747808</v>
      </c>
      <c r="AK45" s="5">
        <f>AE45/2*4</f>
        <v>1619.8162137806166</v>
      </c>
      <c r="AM45" s="5">
        <f>AG45/2*4</f>
        <v>1917.9265691717201</v>
      </c>
      <c r="AN45" s="5">
        <f>AH45/2*4</f>
        <v>2859.1008473707316</v>
      </c>
      <c r="AO45" s="5">
        <f>AC45/2*5</f>
        <v>1858.9516321998576</v>
      </c>
      <c r="AP45" s="5">
        <f>AD45/2*5</f>
        <v>1940.3774315934761</v>
      </c>
      <c r="AQ45" s="5">
        <f>AE45/2*5</f>
        <v>2024.7702672257708</v>
      </c>
    </row>
    <row r="46" spans="1:43">
      <c r="A46" s="13" t="s">
        <v>251</v>
      </c>
      <c r="B46" s="4"/>
      <c r="C46" s="144"/>
      <c r="D46" s="152"/>
      <c r="E46" s="153"/>
      <c r="F46" s="153"/>
      <c r="G46" s="153"/>
      <c r="H46" s="153"/>
      <c r="I46" s="147">
        <f t="shared" si="39"/>
        <v>0</v>
      </c>
      <c r="J46" s="147">
        <f t="shared" si="40"/>
        <v>58.563563221209129</v>
      </c>
      <c r="K46" s="147">
        <f t="shared" si="41"/>
        <v>106</v>
      </c>
      <c r="L46" s="147">
        <f t="shared" si="40"/>
        <v>63.592253623446751</v>
      </c>
      <c r="M46" s="147">
        <f t="shared" si="40"/>
        <v>66.35807151029131</v>
      </c>
      <c r="N46" s="13"/>
      <c r="O46" s="5">
        <v>0</v>
      </c>
      <c r="P46" s="5">
        <v>0</v>
      </c>
      <c r="Q46" s="5">
        <v>0</v>
      </c>
      <c r="R46" s="5">
        <v>0</v>
      </c>
      <c r="S46" s="5">
        <v>0</v>
      </c>
      <c r="T46" s="13"/>
      <c r="U46" s="5">
        <f>($F$17-$E$17)/($F$17-$D$17)*$AA46</f>
        <v>18.301113506627853</v>
      </c>
      <c r="V46" s="5">
        <f>($F$17-$E$17)/($F$17-$D$17)*$AB46</f>
        <v>58.563563221209129</v>
      </c>
      <c r="W46" s="5">
        <f>($F$17-$E$17)/($F$17-$D$17)*$AC46</f>
        <v>60.923674819023859</v>
      </c>
      <c r="X46" s="5">
        <f>($F$17-$E$17)/($F$17-$D$17)*$AD46</f>
        <v>63.592253623446751</v>
      </c>
      <c r="Y46" s="5">
        <f>($F$17-$E$17)/($F$17-$D$17)*$AE46</f>
        <v>66.35807151029131</v>
      </c>
      <c r="AA46" s="5">
        <v>33.125</v>
      </c>
      <c r="AB46" s="5">
        <v>106</v>
      </c>
      <c r="AC46" s="5">
        <v>110.2718</v>
      </c>
      <c r="AD46" s="5">
        <v>115.10192538360002</v>
      </c>
      <c r="AE46" s="5">
        <v>120.10805342430892</v>
      </c>
      <c r="AG46" s="5"/>
      <c r="AH46" s="5"/>
      <c r="AI46" s="5"/>
      <c r="AJ46" s="5"/>
      <c r="AK46" s="5"/>
      <c r="AM46" s="5"/>
      <c r="AN46" s="5"/>
      <c r="AO46" s="5"/>
      <c r="AP46" s="5"/>
      <c r="AQ46" s="5"/>
    </row>
    <row r="47" spans="1:43">
      <c r="A47" s="13"/>
      <c r="B47" s="4"/>
      <c r="C47" s="144"/>
      <c r="D47" s="152"/>
      <c r="E47" s="153"/>
      <c r="F47" s="153"/>
      <c r="G47" s="153"/>
      <c r="H47" s="153"/>
      <c r="I47" s="147">
        <f t="shared" si="39"/>
        <v>0</v>
      </c>
      <c r="J47" s="147">
        <f t="shared" si="40"/>
        <v>0</v>
      </c>
      <c r="K47" s="147">
        <f t="shared" si="41"/>
        <v>0</v>
      </c>
      <c r="L47" s="147">
        <f t="shared" si="40"/>
        <v>0</v>
      </c>
      <c r="M47" s="147">
        <f t="shared" si="40"/>
        <v>0</v>
      </c>
      <c r="N47" s="13"/>
      <c r="O47" s="5"/>
      <c r="P47" s="5"/>
      <c r="Q47" s="5"/>
      <c r="R47" s="5"/>
      <c r="S47" s="5"/>
      <c r="T47" s="13"/>
      <c r="U47" s="5"/>
      <c r="V47" s="5"/>
      <c r="W47" s="5"/>
      <c r="X47" s="5"/>
      <c r="Y47" s="5"/>
      <c r="AA47" s="5"/>
      <c r="AB47" s="5"/>
      <c r="AC47" s="5"/>
      <c r="AD47" s="5"/>
      <c r="AE47" s="5"/>
      <c r="AG47" s="5"/>
      <c r="AH47" s="5"/>
      <c r="AI47" s="5"/>
      <c r="AJ47" s="5"/>
      <c r="AK47" s="5"/>
      <c r="AM47" s="5"/>
      <c r="AN47" s="5"/>
      <c r="AO47" s="5"/>
      <c r="AP47" s="5"/>
      <c r="AQ47" s="5"/>
    </row>
    <row r="48" spans="1:43">
      <c r="A48" s="17" t="s">
        <v>231</v>
      </c>
      <c r="B48" s="4"/>
      <c r="C48" s="144"/>
      <c r="D48" s="152"/>
      <c r="E48" s="153"/>
      <c r="F48" s="153"/>
      <c r="G48" s="153"/>
      <c r="H48" s="153"/>
      <c r="I48" s="147">
        <f t="shared" si="39"/>
        <v>0</v>
      </c>
      <c r="J48" s="147">
        <f t="shared" si="40"/>
        <v>0</v>
      </c>
      <c r="K48" s="147">
        <f t="shared" si="41"/>
        <v>0</v>
      </c>
      <c r="L48" s="147">
        <f t="shared" si="40"/>
        <v>0</v>
      </c>
      <c r="M48" s="147">
        <f t="shared" si="40"/>
        <v>0</v>
      </c>
      <c r="N48" s="13"/>
      <c r="O48" s="5"/>
      <c r="P48" s="5"/>
      <c r="Q48" s="5"/>
      <c r="R48" s="5"/>
      <c r="S48" s="5"/>
      <c r="T48" s="13"/>
      <c r="U48" s="5"/>
      <c r="V48" s="5"/>
      <c r="W48" s="5"/>
      <c r="X48" s="5"/>
      <c r="Y48" s="5"/>
      <c r="AA48" s="5"/>
      <c r="AB48" s="5"/>
      <c r="AC48" s="5"/>
      <c r="AD48" s="5"/>
      <c r="AE48" s="5"/>
      <c r="AG48" s="5"/>
      <c r="AH48" s="5"/>
      <c r="AI48" s="5"/>
      <c r="AJ48" s="5"/>
      <c r="AK48" s="5"/>
      <c r="AM48" s="5"/>
      <c r="AN48" s="5"/>
      <c r="AO48" s="5"/>
      <c r="AP48" s="5"/>
      <c r="AQ48" s="5"/>
    </row>
    <row r="49" spans="1:43">
      <c r="A49" s="13" t="s">
        <v>255</v>
      </c>
      <c r="B49" s="4"/>
      <c r="C49" s="144"/>
      <c r="D49" s="152"/>
      <c r="E49" s="153"/>
      <c r="F49" s="153"/>
      <c r="G49" s="153"/>
      <c r="H49" s="153"/>
      <c r="I49" s="147">
        <f t="shared" si="39"/>
        <v>0</v>
      </c>
      <c r="J49" s="147">
        <f t="shared" si="40"/>
        <v>-1643.7065014170644</v>
      </c>
      <c r="K49" s="147">
        <f t="shared" si="41"/>
        <v>-3672.9759016830176</v>
      </c>
      <c r="L49" s="147">
        <f>AH49</f>
        <v>-3672.9759016830176</v>
      </c>
      <c r="M49" s="147">
        <f>AN49</f>
        <v>-4188.1380926079346</v>
      </c>
      <c r="N49" s="13"/>
      <c r="O49" s="5">
        <v>0</v>
      </c>
      <c r="P49" s="5">
        <v>0</v>
      </c>
      <c r="Q49" s="5">
        <v>0</v>
      </c>
      <c r="R49" s="5">
        <v>0</v>
      </c>
      <c r="S49" s="5">
        <v>0</v>
      </c>
      <c r="T49" s="13"/>
      <c r="U49" s="5">
        <f>(($E$17-$D$17)/($F$17-$D$17))*AA$49</f>
        <v>-981.93554449044552</v>
      </c>
      <c r="V49" s="5">
        <f>(($E$17-$D$17)/($F$17-$D$17))*AB$49</f>
        <v>-1643.7065014170644</v>
      </c>
      <c r="W49" s="5">
        <f>(($E$17-$D$17)/($F$17-$D$17))*AC$49</f>
        <v>-1643.7065014170644</v>
      </c>
      <c r="X49" s="5">
        <f>(($E$17-$D$17)/($F$17-$D$17))*AD$49</f>
        <v>-1643.7065014170644</v>
      </c>
      <c r="Y49" s="5">
        <f>(($E$17-$D$17)/($F$17-$D$17))*AE$49</f>
        <v>-1643.7065014170644</v>
      </c>
      <c r="AA49" s="5">
        <v>-2194.2029120223542</v>
      </c>
      <c r="AB49" s="5">
        <v>-3672.9759016830176</v>
      </c>
      <c r="AC49" s="5">
        <v>-3672.9759016830176</v>
      </c>
      <c r="AD49" s="5">
        <v>-3672.9759016830176</v>
      </c>
      <c r="AE49" s="5">
        <v>-3672.9759016830176</v>
      </c>
      <c r="AG49" s="5">
        <v>-2194.2029120223542</v>
      </c>
      <c r="AH49" s="5">
        <v>-3672.9759016830176</v>
      </c>
      <c r="AI49" s="5">
        <v>-3672.9759016830176</v>
      </c>
      <c r="AJ49" s="5">
        <v>-3672.9759016830176</v>
      </c>
      <c r="AK49" s="5">
        <v>-3672.9759016830176</v>
      </c>
      <c r="AM49" s="5">
        <f>(($H$17-$D$17)/($F$17-$D$17))*AA$49</f>
        <v>-2501.9561915832996</v>
      </c>
      <c r="AN49" s="5">
        <f>(($H$17-$D$17)/($F$17-$D$17))*AB$49</f>
        <v>-4188.1380926079346</v>
      </c>
      <c r="AO49" s="5">
        <f>(($H$17-$D$17)/($F$17-$D$17))*AC$49</f>
        <v>-4188.1380926079346</v>
      </c>
      <c r="AP49" s="5">
        <f>(($H$17-$D$17)/($F$17-$D$17))*AD$49</f>
        <v>-4188.1380926079346</v>
      </c>
      <c r="AQ49" s="5">
        <f>(($H$17-$D$17)/($F$17-$D$17))*AE$49</f>
        <v>-4188.1380926079346</v>
      </c>
    </row>
    <row r="50" spans="1:43">
      <c r="A50" s="13"/>
      <c r="B50" s="4"/>
      <c r="C50" s="144"/>
      <c r="D50" s="152"/>
      <c r="E50" s="153"/>
      <c r="F50" s="153"/>
      <c r="G50" s="153"/>
      <c r="H50" s="153"/>
      <c r="I50" s="147">
        <f t="shared" si="39"/>
        <v>0</v>
      </c>
      <c r="J50" s="147">
        <f t="shared" si="40"/>
        <v>0</v>
      </c>
      <c r="K50" s="147">
        <f t="shared" si="41"/>
        <v>0</v>
      </c>
      <c r="L50" s="147">
        <f t="shared" si="40"/>
        <v>0</v>
      </c>
      <c r="M50" s="147">
        <f t="shared" si="40"/>
        <v>0</v>
      </c>
      <c r="N50" s="13"/>
      <c r="O50" s="5"/>
      <c r="P50" s="5"/>
      <c r="Q50" s="5"/>
      <c r="R50" s="5"/>
      <c r="S50" s="5"/>
      <c r="T50" s="13"/>
      <c r="U50" s="5"/>
      <c r="V50" s="5"/>
      <c r="W50" s="5"/>
      <c r="X50" s="5"/>
      <c r="Y50" s="5"/>
      <c r="AA50" s="5"/>
      <c r="AB50" s="5"/>
      <c r="AC50" s="5"/>
      <c r="AD50" s="5"/>
      <c r="AE50" s="5"/>
      <c r="AG50" s="5"/>
      <c r="AH50" s="5"/>
      <c r="AI50" s="5"/>
      <c r="AJ50" s="5"/>
      <c r="AK50" s="5"/>
      <c r="AM50" s="5"/>
      <c r="AN50" s="5"/>
      <c r="AO50" s="5"/>
      <c r="AP50" s="5"/>
      <c r="AQ50" s="5"/>
    </row>
    <row r="51" spans="1:43">
      <c r="A51" s="17" t="s">
        <v>239</v>
      </c>
      <c r="B51" s="4"/>
      <c r="C51" s="144"/>
      <c r="D51" s="152"/>
      <c r="E51" s="153"/>
      <c r="F51" s="153"/>
      <c r="G51" s="153"/>
      <c r="H51" s="153"/>
      <c r="I51" s="147">
        <f t="shared" si="39"/>
        <v>0</v>
      </c>
      <c r="J51" s="147">
        <f t="shared" si="40"/>
        <v>0</v>
      </c>
      <c r="K51" s="147">
        <f t="shared" si="41"/>
        <v>0</v>
      </c>
      <c r="L51" s="147">
        <f t="shared" si="40"/>
        <v>0</v>
      </c>
      <c r="M51" s="147">
        <f t="shared" si="40"/>
        <v>0</v>
      </c>
      <c r="N51" s="13"/>
      <c r="O51" s="5"/>
      <c r="P51" s="5"/>
      <c r="Q51" s="5"/>
      <c r="R51" s="5"/>
      <c r="S51" s="5"/>
      <c r="T51" s="13"/>
      <c r="U51" s="5"/>
      <c r="V51" s="5"/>
      <c r="W51" s="5"/>
      <c r="X51" s="5"/>
      <c r="Y51" s="5"/>
      <c r="AA51" s="5"/>
      <c r="AB51" s="5"/>
      <c r="AC51" s="5"/>
      <c r="AD51" s="5"/>
      <c r="AE51" s="5"/>
      <c r="AG51" s="5"/>
      <c r="AH51" s="5"/>
      <c r="AI51" s="5"/>
      <c r="AJ51" s="5"/>
      <c r="AK51" s="5"/>
      <c r="AM51" s="5"/>
      <c r="AN51" s="5"/>
      <c r="AO51" s="5"/>
      <c r="AP51" s="5"/>
      <c r="AQ51" s="5"/>
    </row>
    <row r="52" spans="1:43">
      <c r="A52" s="13" t="s">
        <v>248</v>
      </c>
      <c r="B52" s="4"/>
      <c r="C52" s="144"/>
      <c r="D52" s="152"/>
      <c r="E52" s="153"/>
      <c r="F52" s="153"/>
      <c r="G52" s="153"/>
      <c r="H52" s="153"/>
      <c r="I52" s="147">
        <f t="shared" si="39"/>
        <v>0</v>
      </c>
      <c r="J52" s="147">
        <f t="shared" si="40"/>
        <v>0</v>
      </c>
      <c r="K52" s="147">
        <f t="shared" si="41"/>
        <v>0</v>
      </c>
      <c r="L52" s="147">
        <f t="shared" si="40"/>
        <v>0</v>
      </c>
      <c r="M52" s="147">
        <f t="shared" si="40"/>
        <v>0</v>
      </c>
      <c r="N52" s="13"/>
      <c r="O52" s="5">
        <v>0</v>
      </c>
      <c r="P52" s="5">
        <v>0</v>
      </c>
      <c r="Q52" s="5">
        <v>0</v>
      </c>
      <c r="R52" s="5">
        <v>0</v>
      </c>
      <c r="S52" s="5">
        <v>0</v>
      </c>
      <c r="T52" s="13"/>
      <c r="U52" s="5">
        <f>((F17-E17)/F17)*AA52</f>
        <v>743.88289311673873</v>
      </c>
      <c r="V52" s="5"/>
      <c r="W52" s="5"/>
      <c r="X52" s="5"/>
      <c r="Y52" s="5"/>
      <c r="AA52" s="5">
        <v>2072</v>
      </c>
      <c r="AB52" s="5"/>
      <c r="AC52" s="5"/>
      <c r="AD52" s="5"/>
      <c r="AE52" s="5"/>
      <c r="AG52" s="5">
        <f>((($G$17*2.3)+$G$16)/(($F$17*2.3)+$F$16))*$AA52</f>
        <v>2571.5200972246334</v>
      </c>
      <c r="AH52" s="5"/>
      <c r="AI52" s="5"/>
      <c r="AJ52" s="5"/>
      <c r="AK52" s="5"/>
      <c r="AM52" s="5">
        <f>((($H$17*2.3)+$H$16)/(($F$17*2.3)+$F$16))*$AA52</f>
        <v>2921.4689477944194</v>
      </c>
      <c r="AN52" s="5"/>
      <c r="AO52" s="5"/>
      <c r="AP52" s="5"/>
      <c r="AQ52" s="5"/>
    </row>
    <row r="53" spans="1:43">
      <c r="A53" s="13"/>
      <c r="B53" s="4"/>
      <c r="C53" s="144"/>
      <c r="D53" s="152"/>
      <c r="E53" s="153"/>
      <c r="F53" s="153"/>
      <c r="G53" s="153"/>
      <c r="H53" s="153"/>
      <c r="I53" s="147">
        <f t="shared" si="39"/>
        <v>0</v>
      </c>
      <c r="J53" s="147">
        <f t="shared" si="40"/>
        <v>0</v>
      </c>
      <c r="K53" s="147">
        <f t="shared" si="41"/>
        <v>0</v>
      </c>
      <c r="L53" s="147">
        <f t="shared" si="40"/>
        <v>0</v>
      </c>
      <c r="M53" s="147">
        <f t="shared" si="40"/>
        <v>0</v>
      </c>
      <c r="N53" s="13"/>
      <c r="O53" s="5"/>
      <c r="P53" s="5"/>
      <c r="Q53" s="5"/>
      <c r="R53" s="5"/>
      <c r="S53" s="5"/>
      <c r="T53" s="13"/>
      <c r="U53" s="5"/>
      <c r="V53" s="5"/>
      <c r="W53" s="5"/>
      <c r="X53" s="5"/>
      <c r="Y53" s="5"/>
      <c r="AA53" s="5"/>
      <c r="AB53" s="5"/>
      <c r="AC53" s="5"/>
      <c r="AD53" s="5"/>
      <c r="AE53" s="5"/>
      <c r="AG53" s="5"/>
      <c r="AH53" s="5"/>
      <c r="AI53" s="5"/>
      <c r="AJ53" s="5"/>
      <c r="AK53" s="5"/>
      <c r="AM53" s="5"/>
      <c r="AN53" s="5"/>
      <c r="AO53" s="5"/>
      <c r="AP53" s="5"/>
      <c r="AQ53" s="5"/>
    </row>
    <row r="54" spans="1:43">
      <c r="A54" s="17" t="s">
        <v>249</v>
      </c>
      <c r="B54" s="4"/>
      <c r="C54" s="144"/>
      <c r="D54" s="152"/>
      <c r="E54" s="153"/>
      <c r="F54" s="153"/>
      <c r="G54" s="153"/>
      <c r="H54" s="153"/>
      <c r="I54" s="147">
        <f t="shared" si="39"/>
        <v>0</v>
      </c>
      <c r="J54" s="147">
        <f t="shared" si="40"/>
        <v>0</v>
      </c>
      <c r="K54" s="147">
        <f t="shared" si="41"/>
        <v>0</v>
      </c>
      <c r="L54" s="147">
        <f t="shared" si="40"/>
        <v>0</v>
      </c>
      <c r="M54" s="147">
        <f t="shared" si="40"/>
        <v>0</v>
      </c>
      <c r="N54" s="13"/>
      <c r="O54" s="5"/>
      <c r="P54" s="5"/>
      <c r="Q54" s="5"/>
      <c r="R54" s="5"/>
      <c r="S54" s="5"/>
      <c r="T54" s="13"/>
      <c r="U54" s="5"/>
      <c r="V54" s="5"/>
      <c r="W54" s="5"/>
      <c r="X54" s="5"/>
      <c r="Y54" s="5"/>
      <c r="AA54" s="5"/>
      <c r="AB54" s="5"/>
      <c r="AC54" s="5"/>
      <c r="AD54" s="5"/>
      <c r="AE54" s="5"/>
      <c r="AG54" s="5"/>
      <c r="AH54" s="5"/>
      <c r="AI54" s="5"/>
      <c r="AJ54" s="5"/>
      <c r="AK54" s="5"/>
      <c r="AM54" s="5"/>
      <c r="AN54" s="5"/>
      <c r="AO54" s="5"/>
      <c r="AP54" s="5"/>
      <c r="AQ54" s="5"/>
    </row>
    <row r="55" spans="1:43">
      <c r="A55" s="13" t="s">
        <v>250</v>
      </c>
      <c r="B55" s="4"/>
      <c r="C55" s="144"/>
      <c r="D55" s="152"/>
      <c r="E55" s="153"/>
      <c r="F55" s="153"/>
      <c r="G55" s="153"/>
      <c r="H55" s="153"/>
      <c r="I55" s="147">
        <f t="shared" si="39"/>
        <v>0</v>
      </c>
      <c r="J55" s="147">
        <f t="shared" si="40"/>
        <v>0</v>
      </c>
      <c r="K55" s="147">
        <f t="shared" si="41"/>
        <v>0</v>
      </c>
      <c r="L55" s="147">
        <f t="shared" si="40"/>
        <v>0</v>
      </c>
      <c r="M55" s="147">
        <f t="shared" si="40"/>
        <v>0</v>
      </c>
      <c r="N55" s="13"/>
      <c r="O55" s="5">
        <v>0</v>
      </c>
      <c r="P55" s="5">
        <v>0</v>
      </c>
      <c r="Q55" s="5">
        <v>0</v>
      </c>
      <c r="R55" s="5">
        <v>0</v>
      </c>
      <c r="S55" s="5">
        <v>0</v>
      </c>
      <c r="T55" s="13"/>
      <c r="U55" s="5">
        <f>((($E$17*2.3)+$E$17)/(($F$17*2.3)+$F$16))*$AA55</f>
        <v>369.81136548362048</v>
      </c>
      <c r="V55" s="5"/>
      <c r="W55" s="5"/>
      <c r="X55" s="5"/>
      <c r="Y55" s="5"/>
      <c r="AA55" s="5">
        <v>467</v>
      </c>
      <c r="AB55" s="5"/>
      <c r="AC55" s="5"/>
      <c r="AD55" s="5"/>
      <c r="AE55" s="5"/>
      <c r="AG55" s="5">
        <f>((($G$17*2.3)+$G$16)/(($F$17*2.3)+$F$16))*$AA55</f>
        <v>579.58488677794583</v>
      </c>
      <c r="AH55" s="5"/>
      <c r="AI55" s="5"/>
      <c r="AJ55" s="5"/>
      <c r="AK55" s="5"/>
      <c r="AM55" s="5">
        <f>((($H$17*2.3)+$H$16)/(($F$17*2.3)+$F$16))*$AA55</f>
        <v>658.45849354246809</v>
      </c>
      <c r="AN55" s="5"/>
      <c r="AO55" s="5"/>
      <c r="AP55" s="5"/>
      <c r="AQ55" s="5"/>
    </row>
    <row r="56" spans="1:43">
      <c r="A56" s="13"/>
      <c r="B56" s="4"/>
      <c r="C56" s="144"/>
      <c r="D56" s="152"/>
      <c r="E56" s="153"/>
      <c r="F56" s="153"/>
      <c r="G56" s="153"/>
      <c r="H56" s="153"/>
      <c r="I56" s="147">
        <f t="shared" si="39"/>
        <v>0</v>
      </c>
      <c r="J56" s="147">
        <f t="shared" si="40"/>
        <v>0</v>
      </c>
      <c r="K56" s="147">
        <f t="shared" si="41"/>
        <v>0</v>
      </c>
      <c r="L56" s="147">
        <f t="shared" si="40"/>
        <v>0</v>
      </c>
      <c r="M56" s="147">
        <f t="shared" si="40"/>
        <v>0</v>
      </c>
      <c r="N56" s="13"/>
      <c r="O56" s="5"/>
      <c r="P56" s="5"/>
      <c r="Q56" s="5"/>
      <c r="R56" s="5"/>
      <c r="S56" s="5"/>
      <c r="T56" s="13"/>
      <c r="U56" s="5"/>
      <c r="V56" s="5"/>
      <c r="W56" s="5"/>
      <c r="X56" s="5"/>
      <c r="Y56" s="5"/>
      <c r="AA56" s="5"/>
      <c r="AB56" s="5"/>
      <c r="AC56" s="5"/>
      <c r="AD56" s="5"/>
      <c r="AE56" s="5"/>
      <c r="AG56" s="5"/>
      <c r="AH56" s="5"/>
      <c r="AI56" s="5"/>
      <c r="AJ56" s="5"/>
      <c r="AK56" s="5"/>
      <c r="AM56" s="5"/>
      <c r="AN56" s="5"/>
      <c r="AO56" s="5"/>
      <c r="AP56" s="5"/>
      <c r="AQ56" s="5"/>
    </row>
    <row r="57" spans="1:43">
      <c r="A57" s="17" t="s">
        <v>110</v>
      </c>
      <c r="B57" s="4"/>
      <c r="C57" s="144"/>
      <c r="D57" s="152"/>
      <c r="E57" s="153"/>
      <c r="F57" s="153"/>
      <c r="G57" s="153"/>
      <c r="H57" s="153"/>
      <c r="I57" s="147">
        <f t="shared" si="39"/>
        <v>0</v>
      </c>
      <c r="J57" s="147">
        <f t="shared" si="40"/>
        <v>0</v>
      </c>
      <c r="K57" s="147">
        <f t="shared" si="41"/>
        <v>0</v>
      </c>
      <c r="L57" s="147">
        <f t="shared" si="40"/>
        <v>0</v>
      </c>
      <c r="M57" s="147">
        <f t="shared" si="40"/>
        <v>0</v>
      </c>
      <c r="N57" s="13"/>
      <c r="O57" s="5"/>
      <c r="P57" s="5"/>
      <c r="Q57" s="5"/>
      <c r="R57" s="5"/>
      <c r="S57" s="5"/>
      <c r="T57" s="13"/>
      <c r="U57" s="5"/>
      <c r="V57" s="5"/>
      <c r="W57" s="5"/>
      <c r="X57" s="5"/>
      <c r="Y57" s="5"/>
      <c r="AA57" s="5"/>
      <c r="AB57" s="5"/>
      <c r="AC57" s="5"/>
      <c r="AD57" s="5"/>
      <c r="AE57" s="5"/>
      <c r="AG57" s="5"/>
      <c r="AH57" s="5"/>
      <c r="AI57" s="5"/>
      <c r="AJ57" s="5"/>
      <c r="AK57" s="5"/>
      <c r="AM57" s="5"/>
      <c r="AN57" s="5"/>
      <c r="AO57" s="5"/>
      <c r="AP57" s="5"/>
      <c r="AQ57" s="5"/>
    </row>
    <row r="58" spans="1:43">
      <c r="A58" s="13" t="s">
        <v>109</v>
      </c>
      <c r="B58" s="4"/>
      <c r="C58" s="144"/>
      <c r="D58" s="152"/>
      <c r="E58" s="153"/>
      <c r="F58" s="153"/>
      <c r="G58" s="153"/>
      <c r="H58" s="153"/>
      <c r="I58" s="147"/>
      <c r="J58" s="147"/>
      <c r="K58" s="4"/>
      <c r="L58" s="4"/>
      <c r="M58" s="4"/>
      <c r="N58" s="13"/>
      <c r="O58" s="5">
        <f>$B58+($I58*O$13)</f>
        <v>0</v>
      </c>
      <c r="P58" s="5">
        <f t="shared" ref="P58:S58" si="42">$B58+($I58*P$13)</f>
        <v>0</v>
      </c>
      <c r="Q58" s="5">
        <f t="shared" si="42"/>
        <v>0</v>
      </c>
      <c r="R58" s="5">
        <f t="shared" si="42"/>
        <v>0</v>
      </c>
      <c r="S58" s="5">
        <f t="shared" si="42"/>
        <v>0</v>
      </c>
      <c r="T58" s="13"/>
      <c r="U58" s="5">
        <f t="shared" ref="U58" si="43">$B58+($J58*U$13)</f>
        <v>0</v>
      </c>
      <c r="V58" s="5">
        <f t="shared" ref="V58:Y58" si="44">$B58+($J58*V$13)</f>
        <v>0</v>
      </c>
      <c r="W58" s="5">
        <f t="shared" si="44"/>
        <v>0</v>
      </c>
      <c r="X58" s="5">
        <f t="shared" si="44"/>
        <v>0</v>
      </c>
      <c r="Y58" s="5">
        <f t="shared" si="44"/>
        <v>0</v>
      </c>
      <c r="AA58" s="5">
        <f>$B58+($K58*AA$13)</f>
        <v>0</v>
      </c>
      <c r="AB58" s="5">
        <f>$B58+($K58*AB$13)</f>
        <v>0</v>
      </c>
      <c r="AC58" s="5">
        <f>$B58+($K58*AC$13)</f>
        <v>0</v>
      </c>
      <c r="AD58" s="5">
        <f>$B58+($K58*AD$13)</f>
        <v>0</v>
      </c>
      <c r="AE58" s="5">
        <f>$B58+($K58*AE$13)</f>
        <v>0</v>
      </c>
      <c r="AG58" s="5">
        <f t="shared" ref="AG58:AK58" si="45">$B58+($L58*AG$13)</f>
        <v>0</v>
      </c>
      <c r="AH58" s="5">
        <f t="shared" si="45"/>
        <v>0</v>
      </c>
      <c r="AI58" s="5">
        <f t="shared" si="45"/>
        <v>0</v>
      </c>
      <c r="AJ58" s="5">
        <f t="shared" si="45"/>
        <v>0</v>
      </c>
      <c r="AK58" s="5">
        <f t="shared" si="45"/>
        <v>0</v>
      </c>
      <c r="AM58" s="5">
        <f t="shared" ref="AM58:AQ58" si="46">$B58+($M58*AM$13)</f>
        <v>0</v>
      </c>
      <c r="AN58" s="5">
        <f t="shared" si="46"/>
        <v>0</v>
      </c>
      <c r="AO58" s="5">
        <f t="shared" si="46"/>
        <v>0</v>
      </c>
      <c r="AP58" s="5">
        <f t="shared" si="46"/>
        <v>0</v>
      </c>
      <c r="AQ58" s="5">
        <f t="shared" si="46"/>
        <v>0</v>
      </c>
    </row>
    <row r="59" spans="1:43">
      <c r="A59" s="13" t="s">
        <v>8</v>
      </c>
      <c r="B59" s="4">
        <v>0</v>
      </c>
      <c r="C59" s="145"/>
      <c r="D59" s="154"/>
      <c r="E59" s="154"/>
      <c r="F59" s="154"/>
      <c r="G59" s="154"/>
      <c r="H59" s="154"/>
      <c r="I59" s="149"/>
      <c r="J59" s="45"/>
      <c r="K59" s="45"/>
      <c r="L59" s="45"/>
      <c r="M59" s="45"/>
      <c r="N59" s="13"/>
      <c r="O59" s="25">
        <f>'5. Capital'!$I21</f>
        <v>0</v>
      </c>
      <c r="P59" s="25">
        <f>'5. Capital'!$N21</f>
        <v>0</v>
      </c>
      <c r="Q59" s="25">
        <f>'5. Capital'!$S21</f>
        <v>0</v>
      </c>
      <c r="R59" s="25">
        <f>'5. Capital'!$X21</f>
        <v>0</v>
      </c>
      <c r="S59" s="25">
        <f>'5. Capital'!$AC21</f>
        <v>0</v>
      </c>
      <c r="T59" s="13"/>
      <c r="U59" s="25">
        <f>'5. Capital'!$I35/12*5</f>
        <v>109.49529538571431</v>
      </c>
      <c r="V59" s="25">
        <f>'5. Capital'!$N35</f>
        <v>262.78870892571433</v>
      </c>
      <c r="W59" s="25">
        <f>'5. Capital'!$S35</f>
        <v>262.78870892571433</v>
      </c>
      <c r="X59" s="25">
        <f>'5. Capital'!$X35</f>
        <v>262.78870892571433</v>
      </c>
      <c r="Y59" s="25">
        <f>'5. Capital'!$AC35</f>
        <v>262.78870892571433</v>
      </c>
      <c r="AA59" s="25">
        <f>'5. Capital'!I49/12*5</f>
        <v>209.3705907714286</v>
      </c>
      <c r="AB59" s="25">
        <f>'5. Capital'!N49</f>
        <v>502.48941785142864</v>
      </c>
      <c r="AC59" s="25">
        <f>'5. Capital'!S49</f>
        <v>502.48941785142864</v>
      </c>
      <c r="AD59" s="25">
        <f>'5. Capital'!X49</f>
        <v>502.48941785142864</v>
      </c>
      <c r="AE59" s="25">
        <f>'5. Capital'!AC49</f>
        <v>502.48941785142864</v>
      </c>
      <c r="AG59" s="25">
        <f>'5. Capital'!$I64/12*5</f>
        <v>409.12118154285713</v>
      </c>
      <c r="AH59" s="25">
        <f>'5. Capital'!$N64</f>
        <v>981.8908357028572</v>
      </c>
      <c r="AI59" s="25">
        <f>'5. Capital'!$S64</f>
        <v>981.8908357028572</v>
      </c>
      <c r="AJ59" s="25">
        <f>'5. Capital'!$X64</f>
        <v>981.8908357028572</v>
      </c>
      <c r="AK59" s="25">
        <f>'5. Capital'!$AC64</f>
        <v>981.8908357028572</v>
      </c>
      <c r="AM59" s="25">
        <f>'5. Capital'!$I78/12*5</f>
        <v>508.99647692857144</v>
      </c>
      <c r="AN59" s="25">
        <f>'5. Capital'!$N78</f>
        <v>1221.5915446285715</v>
      </c>
      <c r="AO59" s="25">
        <f>'5. Capital'!$S78</f>
        <v>1221.5915446285715</v>
      </c>
      <c r="AP59" s="25">
        <f>'5. Capital'!$X78</f>
        <v>1221.5915446285715</v>
      </c>
      <c r="AQ59" s="25">
        <f>'5. Capital'!$AC78</f>
        <v>1221.5915446285715</v>
      </c>
    </row>
    <row r="60" spans="1:43">
      <c r="A60" s="13" t="s">
        <v>9</v>
      </c>
      <c r="B60" s="4">
        <v>0</v>
      </c>
      <c r="C60" s="145"/>
      <c r="D60" s="154"/>
      <c r="E60" s="154"/>
      <c r="F60" s="154"/>
      <c r="G60" s="154"/>
      <c r="H60" s="154"/>
      <c r="I60" s="149"/>
      <c r="J60" s="45"/>
      <c r="K60" s="45"/>
      <c r="L60" s="45"/>
      <c r="M60" s="45"/>
      <c r="N60" s="13"/>
      <c r="O60" s="25">
        <f>'5. Capital'!$K21</f>
        <v>0</v>
      </c>
      <c r="P60" s="25">
        <f>'5. Capital'!$P21</f>
        <v>0</v>
      </c>
      <c r="Q60" s="25">
        <f>'5. Capital'!$U21</f>
        <v>0</v>
      </c>
      <c r="R60" s="25">
        <f>'5. Capital'!$Z21</f>
        <v>0</v>
      </c>
      <c r="S60" s="25">
        <f>'5. Capital'!$AE21</f>
        <v>0</v>
      </c>
      <c r="T60" s="13"/>
      <c r="U60" s="25">
        <f>'5. Capital'!$K35/12*5</f>
        <v>70.921965793250024</v>
      </c>
      <c r="V60" s="25">
        <f>'5. Capital'!$P35</f>
        <v>161.01511309140005</v>
      </c>
      <c r="W60" s="25">
        <f>'5. Capital'!$U35</f>
        <v>151.81750827900004</v>
      </c>
      <c r="X60" s="25">
        <f>'5. Capital'!$Z35</f>
        <v>142.61990346660002</v>
      </c>
      <c r="Y60" s="25">
        <f>'5. Capital'!$AE35</f>
        <v>133.42229865420003</v>
      </c>
      <c r="AA60" s="25">
        <f>'5. Capital'!K49/12*5</f>
        <v>133.59478158650001</v>
      </c>
      <c r="AB60" s="25">
        <f>'5. Capital'!P49</f>
        <v>303.04034618280008</v>
      </c>
      <c r="AC60" s="25">
        <f>'5. Capital'!U49</f>
        <v>285.45321655800007</v>
      </c>
      <c r="AD60" s="25">
        <f>'5. Capital'!Z49</f>
        <v>267.86608693320005</v>
      </c>
      <c r="AE60" s="25">
        <f>'5. Capital'!AE49</f>
        <v>250.27895730840007</v>
      </c>
      <c r="AG60" s="25">
        <f>'5. Capital'!$K64/12*5</f>
        <v>258.94041317300008</v>
      </c>
      <c r="AH60" s="25">
        <f>'5. Capital'!$P64</f>
        <v>587.09081236560019</v>
      </c>
      <c r="AI60" s="25">
        <f>'5. Capital'!$U64</f>
        <v>552.72463311600018</v>
      </c>
      <c r="AJ60" s="25">
        <f>'5. Capital'!$Z64</f>
        <v>518.35845386640017</v>
      </c>
      <c r="AK60" s="25">
        <f>'5. Capital'!$AE64</f>
        <v>483.99227461680016</v>
      </c>
      <c r="AM60" s="25">
        <f>'5. Capital'!$K78/12*5</f>
        <v>321.61322896625001</v>
      </c>
      <c r="AN60" s="25">
        <f>'5. Capital'!$P78</f>
        <v>729.11604545699993</v>
      </c>
      <c r="AO60" s="25">
        <f>'5. Capital'!$U78</f>
        <v>686.36034139499998</v>
      </c>
      <c r="AP60" s="25">
        <f>'5. Capital'!$Z78</f>
        <v>643.60463733300003</v>
      </c>
      <c r="AQ60" s="25">
        <f>'5. Capital'!$AE78</f>
        <v>600.84893327099985</v>
      </c>
    </row>
    <row r="61" spans="1:43" ht="15" thickBot="1">
      <c r="A61" s="13" t="s">
        <v>101</v>
      </c>
      <c r="B61" s="90">
        <f>SUM(B31:B60)</f>
        <v>0</v>
      </c>
      <c r="C61" s="19"/>
      <c r="D61" s="155">
        <f t="shared" ref="D61:M61" si="47">SUM(D31:D60)</f>
        <v>0</v>
      </c>
      <c r="E61" s="155">
        <f t="shared" si="47"/>
        <v>0</v>
      </c>
      <c r="F61" s="155">
        <f t="shared" si="47"/>
        <v>0</v>
      </c>
      <c r="G61" s="155">
        <f t="shared" si="47"/>
        <v>0</v>
      </c>
      <c r="H61" s="155">
        <f t="shared" si="47"/>
        <v>0</v>
      </c>
      <c r="I61" s="150">
        <f t="shared" si="47"/>
        <v>14263.692188240631</v>
      </c>
      <c r="J61" s="90">
        <f t="shared" si="47"/>
        <v>19747.819643487634</v>
      </c>
      <c r="K61" s="90">
        <f t="shared" si="47"/>
        <v>26839.705434282765</v>
      </c>
      <c r="L61" s="90">
        <f t="shared" si="47"/>
        <v>19243.308411546066</v>
      </c>
      <c r="M61" s="90">
        <f t="shared" si="47"/>
        <v>19529.397573645052</v>
      </c>
      <c r="N61" s="13"/>
      <c r="O61" s="90">
        <f>SUM(O31:O60)</f>
        <v>13820.626214085965</v>
      </c>
      <c r="P61" s="90">
        <f>SUM(P31:P60)</f>
        <v>14263.692188240631</v>
      </c>
      <c r="Q61" s="90">
        <f>SUM(Q31:Q60)</f>
        <v>14791.726590431095</v>
      </c>
      <c r="R61" s="90">
        <f>SUM(R31:R60)</f>
        <v>15358.707444892703</v>
      </c>
      <c r="S61" s="90">
        <f>SUM(S31:S60)</f>
        <v>15931.479435540901</v>
      </c>
      <c r="T61" s="13"/>
      <c r="U61" s="90">
        <f>SUM(U31:U60)</f>
        <v>16959.568169648453</v>
      </c>
      <c r="V61" s="90">
        <f>SUM(V31:V60)</f>
        <v>20171.623465504745</v>
      </c>
      <c r="W61" s="90">
        <f>SUM(W31:W60)</f>
        <v>20895.211078867811</v>
      </c>
      <c r="X61" s="90">
        <f>SUM(X31:X60)</f>
        <v>21677.98642420433</v>
      </c>
      <c r="Y61" s="90">
        <f>SUM(Y31:Y60)</f>
        <v>22470.040172415833</v>
      </c>
      <c r="AA61" s="90">
        <f>SUM(AA31:AA60)</f>
        <v>18765.953376746871</v>
      </c>
      <c r="AB61" s="90">
        <f>SUM(AB31:AB60)</f>
        <v>27645.235198316994</v>
      </c>
      <c r="AC61" s="90">
        <f>SUM(AC31:AC60)</f>
        <v>28583.316130590225</v>
      </c>
      <c r="AD61" s="90">
        <f>SUM(AD31:AD60)</f>
        <v>29594.417885827595</v>
      </c>
      <c r="AE61" s="90">
        <f>SUM(AE31:AE60)</f>
        <v>30632.418416487406</v>
      </c>
      <c r="AG61" s="90">
        <f>SUM(AG31:AG60)</f>
        <v>21979.776028413107</v>
      </c>
      <c r="AH61" s="90">
        <f>SUM(AH31:AH60)</f>
        <v>31816.590100028516</v>
      </c>
      <c r="AI61" s="90">
        <f>SUM(AI31:AI60)</f>
        <v>32988.308724981223</v>
      </c>
      <c r="AJ61" s="90">
        <f>SUM(AJ31:AJ60)</f>
        <v>34259.774148858982</v>
      </c>
      <c r="AK61" s="90">
        <f>SUM(AK31:AK60)</f>
        <v>35547.99096988402</v>
      </c>
      <c r="AM61" s="90">
        <f>SUM(AM31:AM60)</f>
        <v>24956.721336818704</v>
      </c>
      <c r="AN61" s="90">
        <f>SUM(AN31:AN60)</f>
        <v>35738.894525023832</v>
      </c>
      <c r="AO61" s="90">
        <f>SUM(AO31:AO60)</f>
        <v>35942.604054140989</v>
      </c>
      <c r="AP61" s="90">
        <f>SUM(AP31:AP60)</f>
        <v>37327.694047868012</v>
      </c>
      <c r="AQ61" s="90">
        <f>SUM(AQ31:AQ60)</f>
        <v>38731.274874288029</v>
      </c>
    </row>
    <row r="62" spans="1:43">
      <c r="A62" s="13"/>
      <c r="B62" s="93"/>
      <c r="C62" s="13"/>
      <c r="D62" s="23"/>
      <c r="E62" s="23"/>
      <c r="F62" s="23"/>
      <c r="G62" s="23"/>
      <c r="H62" s="23"/>
      <c r="I62" s="24"/>
      <c r="J62" s="24"/>
      <c r="K62" s="24"/>
      <c r="L62" s="24"/>
      <c r="M62" s="24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AA62" s="13"/>
      <c r="AB62" s="13"/>
      <c r="AC62" s="13"/>
      <c r="AD62" s="13"/>
      <c r="AE62" s="13"/>
      <c r="AG62" s="13"/>
      <c r="AH62" s="13"/>
      <c r="AI62" s="13"/>
      <c r="AJ62" s="13"/>
      <c r="AK62" s="13"/>
      <c r="AM62" s="13"/>
      <c r="AN62" s="13"/>
      <c r="AO62" s="13"/>
      <c r="AP62" s="13"/>
      <c r="AQ62" s="13"/>
    </row>
    <row r="63" spans="1:43">
      <c r="A63" s="93" t="s">
        <v>40</v>
      </c>
      <c r="B63" s="86">
        <f>B61+B26</f>
        <v>0</v>
      </c>
      <c r="C63" s="241"/>
      <c r="D63" s="242"/>
      <c r="E63" s="242"/>
      <c r="F63" s="242"/>
      <c r="G63" s="242"/>
      <c r="H63" s="242"/>
      <c r="I63" s="86">
        <f>I61+I26</f>
        <v>2111.4230296471251</v>
      </c>
      <c r="J63" s="86">
        <f>J61+J26</f>
        <v>-1113.1771695961397</v>
      </c>
      <c r="K63" s="86">
        <f>K61+K26</f>
        <v>-4773.6412766384674</v>
      </c>
      <c r="L63" s="86">
        <f>L61+L26</f>
        <v>-14783.151302254548</v>
      </c>
      <c r="M63" s="86">
        <f>M61+M26</f>
        <v>-18131.855118960411</v>
      </c>
      <c r="N63" s="93"/>
      <c r="O63" s="86">
        <f>O61+O26</f>
        <v>2046.8993576075536</v>
      </c>
      <c r="P63" s="86">
        <f>P61+P26</f>
        <v>2111.4230296471251</v>
      </c>
      <c r="Q63" s="86">
        <f>Q61+Q26</f>
        <v>2208.6134625780414</v>
      </c>
      <c r="R63" s="86">
        <f>R61+R26</f>
        <v>2326.8897236857774</v>
      </c>
      <c r="S63" s="86">
        <f>S61+S26</f>
        <v>2449.4243623719867</v>
      </c>
      <c r="T63" s="93"/>
      <c r="U63" s="86">
        <f>U61+U26</f>
        <v>1972.5370735656343</v>
      </c>
      <c r="V63" s="86">
        <f>V61+V26</f>
        <v>-689.37334757902863</v>
      </c>
      <c r="W63" s="86">
        <f>W61+W26</f>
        <v>-708.99905218401545</v>
      </c>
      <c r="X63" s="86">
        <f>X61+X26</f>
        <v>-699.9942954627586</v>
      </c>
      <c r="Y63" s="86">
        <f>Y61+Y26</f>
        <v>-684.57379887759816</v>
      </c>
      <c r="Z63" s="76"/>
      <c r="AA63" s="86">
        <f>AA61+AA26</f>
        <v>-139.64699130208828</v>
      </c>
      <c r="AB63" s="86">
        <f>AB61+AB26</f>
        <v>-3968.1115126042387</v>
      </c>
      <c r="AC63" s="86">
        <f>AC61+AC26</f>
        <v>-4158.897804486649</v>
      </c>
      <c r="AD63" s="86">
        <f>AD61+AD26</f>
        <v>-4322.8961466944784</v>
      </c>
      <c r="AE63" s="86">
        <f>AE61+AE26</f>
        <v>-4464.4998460233946</v>
      </c>
      <c r="AF63" s="76"/>
      <c r="AG63" s="86">
        <f>AG61+AG26</f>
        <v>2225.8030362626996</v>
      </c>
      <c r="AH63" s="86">
        <f>AH61+AH26</f>
        <v>-2209.8696137720981</v>
      </c>
      <c r="AI63" s="86">
        <f>AI61+AI26</f>
        <v>-2254.8122852098604</v>
      </c>
      <c r="AJ63" s="86">
        <f>AJ61+AJ26</f>
        <v>-2250.2957084755762</v>
      </c>
      <c r="AK63" s="86">
        <f>AK61+AK26</f>
        <v>-2233.5848187438532</v>
      </c>
      <c r="AL63" s="76"/>
      <c r="AM63" s="86">
        <f>AM61+AM26</f>
        <v>2105.0972131009221</v>
      </c>
      <c r="AN63" s="86">
        <f>AN61+AN26</f>
        <v>-1922.3581675816313</v>
      </c>
      <c r="AO63" s="86">
        <f>AO61+AO26</f>
        <v>-3066.1426262608584</v>
      </c>
      <c r="AP63" s="86">
        <f>AP61+AP26</f>
        <v>-3084.3344524123459</v>
      </c>
      <c r="AQ63" s="86">
        <f>AQ61+AQ26</f>
        <v>-3089.0290471940607</v>
      </c>
    </row>
    <row r="64" spans="1:43">
      <c r="A64" s="76"/>
      <c r="C64" s="76"/>
      <c r="D64" s="242"/>
      <c r="E64" s="76"/>
      <c r="F64" s="76"/>
      <c r="G64" s="76"/>
      <c r="H64" s="76"/>
      <c r="I64" s="93"/>
      <c r="J64" s="93"/>
      <c r="K64" s="93"/>
      <c r="L64" s="93"/>
      <c r="M64" s="93"/>
      <c r="N64" s="76"/>
      <c r="O64" s="243"/>
      <c r="P64" s="243"/>
      <c r="Q64" s="243"/>
      <c r="R64" s="243"/>
      <c r="S64" s="243"/>
      <c r="T64" s="76"/>
      <c r="U64" s="243"/>
      <c r="V64" s="243"/>
      <c r="W64" s="243"/>
      <c r="X64" s="243"/>
      <c r="Y64" s="243"/>
      <c r="Z64" s="76"/>
      <c r="AA64" s="243"/>
      <c r="AB64" s="243"/>
      <c r="AC64" s="243"/>
      <c r="AD64" s="243"/>
      <c r="AE64" s="243"/>
      <c r="AF64" s="76"/>
      <c r="AG64" s="243"/>
      <c r="AH64" s="243"/>
      <c r="AI64" s="243"/>
      <c r="AJ64" s="243"/>
      <c r="AK64" s="243"/>
      <c r="AL64" s="76"/>
      <c r="AM64" s="243"/>
      <c r="AN64" s="243"/>
      <c r="AO64" s="243"/>
      <c r="AP64" s="243"/>
      <c r="AQ64" s="243"/>
    </row>
    <row r="65" spans="1:43">
      <c r="A65" s="76"/>
      <c r="C65" s="76"/>
      <c r="D65" s="76"/>
      <c r="E65" s="76"/>
      <c r="F65" s="76"/>
      <c r="G65" s="76"/>
      <c r="H65" s="76"/>
      <c r="I65" s="244"/>
      <c r="J65" s="244"/>
      <c r="K65" s="244"/>
      <c r="L65" s="244"/>
      <c r="M65" s="244"/>
      <c r="N65" s="76"/>
      <c r="O65" s="76"/>
      <c r="P65" s="76"/>
      <c r="Q65" s="76"/>
      <c r="R65" s="76"/>
      <c r="S65" s="76"/>
      <c r="T65" s="76"/>
      <c r="U65" s="76"/>
      <c r="V65" s="76"/>
      <c r="W65" s="76"/>
      <c r="X65" s="76"/>
      <c r="Y65" s="76"/>
      <c r="Z65" s="76"/>
      <c r="AA65" s="76"/>
      <c r="AB65" s="76"/>
      <c r="AC65" s="76"/>
      <c r="AD65" s="76"/>
      <c r="AE65" s="76"/>
      <c r="AF65" s="76"/>
      <c r="AG65" s="76"/>
      <c r="AH65" s="76"/>
      <c r="AI65" s="76"/>
      <c r="AJ65" s="76"/>
      <c r="AK65" s="76"/>
      <c r="AL65" s="76"/>
      <c r="AM65" s="76"/>
      <c r="AN65" s="76"/>
      <c r="AO65" s="76"/>
      <c r="AP65" s="76"/>
      <c r="AQ65" s="76"/>
    </row>
    <row r="66" spans="1:43">
      <c r="A66" s="76" t="s">
        <v>82</v>
      </c>
      <c r="C66" s="76"/>
      <c r="D66" s="76"/>
      <c r="E66" s="76"/>
      <c r="F66" s="76"/>
      <c r="G66" s="76"/>
      <c r="H66" s="76"/>
      <c r="I66" s="244"/>
      <c r="J66" s="244"/>
      <c r="K66" s="244"/>
      <c r="L66" s="244"/>
      <c r="M66" s="244"/>
      <c r="N66" s="76"/>
      <c r="O66" s="245">
        <f>-O59-O60</f>
        <v>0</v>
      </c>
      <c r="P66" s="245">
        <f t="shared" ref="P66:S66" si="48">-P59-P60</f>
        <v>0</v>
      </c>
      <c r="Q66" s="245">
        <f t="shared" si="48"/>
        <v>0</v>
      </c>
      <c r="R66" s="245">
        <f t="shared" si="48"/>
        <v>0</v>
      </c>
      <c r="S66" s="245">
        <f t="shared" si="48"/>
        <v>0</v>
      </c>
      <c r="T66" s="76"/>
      <c r="U66" s="245">
        <f>-U59-U60</f>
        <v>-180.41726117896434</v>
      </c>
      <c r="V66" s="245">
        <f t="shared" ref="V66:Y66" si="49">-V59-V60</f>
        <v>-423.80382201711438</v>
      </c>
      <c r="W66" s="245">
        <f t="shared" si="49"/>
        <v>-414.60621720471437</v>
      </c>
      <c r="X66" s="245">
        <f t="shared" si="49"/>
        <v>-405.40861239231435</v>
      </c>
      <c r="Y66" s="245">
        <f t="shared" si="49"/>
        <v>-396.21100757991439</v>
      </c>
      <c r="Z66" s="76"/>
      <c r="AA66" s="245">
        <f>-AA59-AA60</f>
        <v>-342.96537235792857</v>
      </c>
      <c r="AB66" s="245">
        <f t="shared" ref="AB66:AE66" si="50">-AB59-AB60</f>
        <v>-805.52976403422872</v>
      </c>
      <c r="AC66" s="245">
        <f t="shared" si="50"/>
        <v>-787.94263440942871</v>
      </c>
      <c r="AD66" s="245">
        <f t="shared" si="50"/>
        <v>-770.35550478462869</v>
      </c>
      <c r="AE66" s="245">
        <f t="shared" si="50"/>
        <v>-752.76837515982868</v>
      </c>
      <c r="AF66" s="76"/>
      <c r="AG66" s="245">
        <f>-AG59-AG60</f>
        <v>-668.06159471585715</v>
      </c>
      <c r="AH66" s="245">
        <f t="shared" ref="AH66:AK66" si="51">-AH59-AH60</f>
        <v>-1568.9816480684574</v>
      </c>
      <c r="AI66" s="245">
        <f t="shared" si="51"/>
        <v>-1534.6154688188574</v>
      </c>
      <c r="AJ66" s="245">
        <f t="shared" si="51"/>
        <v>-1500.2492895692574</v>
      </c>
      <c r="AK66" s="245">
        <f t="shared" si="51"/>
        <v>-1465.8831103196574</v>
      </c>
      <c r="AL66" s="76"/>
      <c r="AM66" s="245">
        <f>-AM59-AM60</f>
        <v>-830.60970589482145</v>
      </c>
      <c r="AN66" s="245">
        <f t="shared" ref="AN66:AQ66" si="52">-AN59-AN60</f>
        <v>-1950.7075900855714</v>
      </c>
      <c r="AO66" s="245">
        <f t="shared" si="52"/>
        <v>-1907.9518860235714</v>
      </c>
      <c r="AP66" s="245">
        <f t="shared" si="52"/>
        <v>-1865.1961819615715</v>
      </c>
      <c r="AQ66" s="245">
        <f t="shared" si="52"/>
        <v>-1822.4404778995713</v>
      </c>
    </row>
    <row r="67" spans="1:43">
      <c r="A67" s="76" t="s">
        <v>41</v>
      </c>
      <c r="C67" s="76"/>
      <c r="D67" s="76"/>
      <c r="E67" s="76"/>
      <c r="F67" s="246"/>
      <c r="G67" s="246"/>
      <c r="H67" s="246"/>
      <c r="I67" s="246"/>
      <c r="J67" s="247"/>
      <c r="K67" s="246"/>
      <c r="L67" s="246"/>
      <c r="M67" s="246"/>
      <c r="N67" s="246"/>
      <c r="O67" s="79">
        <f>O66+O63</f>
        <v>2046.8993576075536</v>
      </c>
      <c r="P67" s="79">
        <f t="shared" ref="P67:S67" si="53">P66+P63</f>
        <v>2111.4230296471251</v>
      </c>
      <c r="Q67" s="79">
        <f t="shared" si="53"/>
        <v>2208.6134625780414</v>
      </c>
      <c r="R67" s="79">
        <f t="shared" si="53"/>
        <v>2326.8897236857774</v>
      </c>
      <c r="S67" s="79">
        <f t="shared" si="53"/>
        <v>2449.4243623719867</v>
      </c>
      <c r="T67" s="76"/>
      <c r="U67" s="79">
        <f>U66+U63</f>
        <v>1792.11981238667</v>
      </c>
      <c r="V67" s="79">
        <f t="shared" ref="V67" si="54">V66+V63</f>
        <v>-1113.1771695961429</v>
      </c>
      <c r="W67" s="79">
        <f t="shared" ref="W67" si="55">W66+W63</f>
        <v>-1123.6052693887298</v>
      </c>
      <c r="X67" s="79">
        <f t="shared" ref="X67" si="56">X66+X63</f>
        <v>-1105.402907855073</v>
      </c>
      <c r="Y67" s="79">
        <f t="shared" ref="Y67" si="57">Y66+Y63</f>
        <v>-1080.7848064575126</v>
      </c>
      <c r="Z67" s="76"/>
      <c r="AA67" s="79">
        <f>AA66+AA63</f>
        <v>-482.61236366001685</v>
      </c>
      <c r="AB67" s="79">
        <f t="shared" ref="AB67:AE67" si="58">AB66+AB63</f>
        <v>-4773.6412766384674</v>
      </c>
      <c r="AC67" s="79">
        <f t="shared" si="58"/>
        <v>-4946.840438896078</v>
      </c>
      <c r="AD67" s="79">
        <f t="shared" si="58"/>
        <v>-5093.2516514791068</v>
      </c>
      <c r="AE67" s="79">
        <f t="shared" si="58"/>
        <v>-5217.2682211832234</v>
      </c>
      <c r="AF67" s="76"/>
      <c r="AG67" s="79">
        <f>AG66+AG63</f>
        <v>1557.7414415468425</v>
      </c>
      <c r="AH67" s="79">
        <f t="shared" ref="AH67:AK67" si="59">AH66+AH63</f>
        <v>-3778.8512618405557</v>
      </c>
      <c r="AI67" s="79">
        <f t="shared" si="59"/>
        <v>-3789.4277540287176</v>
      </c>
      <c r="AJ67" s="79">
        <f t="shared" si="59"/>
        <v>-3750.5449980448338</v>
      </c>
      <c r="AK67" s="79">
        <f t="shared" si="59"/>
        <v>-3699.4679290635104</v>
      </c>
      <c r="AL67" s="76"/>
      <c r="AM67" s="79">
        <f>AM66+AM63</f>
        <v>1274.4875072061006</v>
      </c>
      <c r="AN67" s="79">
        <f t="shared" ref="AN67:AQ67" si="60">AN66+AN63</f>
        <v>-3873.0657576672029</v>
      </c>
      <c r="AO67" s="79">
        <f t="shared" si="60"/>
        <v>-4974.0945122844296</v>
      </c>
      <c r="AP67" s="79">
        <f t="shared" si="60"/>
        <v>-4949.5306343739176</v>
      </c>
      <c r="AQ67" s="79">
        <f t="shared" si="60"/>
        <v>-4911.469525093632</v>
      </c>
    </row>
    <row r="68" spans="1:43">
      <c r="F68" s="226"/>
      <c r="G68" s="226"/>
      <c r="H68" s="226"/>
      <c r="I68" s="226"/>
      <c r="J68" s="227"/>
      <c r="K68" s="227"/>
      <c r="L68" s="227"/>
      <c r="M68" s="227"/>
      <c r="N68" s="226"/>
      <c r="O68" s="99"/>
      <c r="P68" s="99"/>
      <c r="Q68" s="99"/>
      <c r="R68" s="99"/>
      <c r="S68" s="99"/>
      <c r="T68" s="99"/>
      <c r="U68" s="99"/>
      <c r="V68" s="99"/>
      <c r="W68" s="99"/>
      <c r="X68" s="99"/>
      <c r="Y68" s="99"/>
    </row>
    <row r="69" spans="1:43">
      <c r="F69" s="226"/>
      <c r="G69" s="226"/>
      <c r="H69" s="226"/>
      <c r="I69" s="226"/>
      <c r="J69" s="226"/>
      <c r="K69" s="226"/>
      <c r="L69" s="226"/>
      <c r="M69" s="226"/>
      <c r="N69" s="226"/>
      <c r="O69" s="127"/>
      <c r="P69" s="127"/>
      <c r="Q69" s="127"/>
      <c r="R69" s="127"/>
      <c r="S69" s="127"/>
      <c r="U69" s="127"/>
      <c r="V69" s="127"/>
      <c r="W69" s="127"/>
      <c r="X69" s="127"/>
      <c r="Y69" s="127"/>
    </row>
    <row r="70" spans="1:43">
      <c r="F70" s="226"/>
      <c r="G70" s="226"/>
      <c r="H70" s="226"/>
      <c r="I70" s="228"/>
      <c r="J70" s="228"/>
      <c r="K70" s="228"/>
      <c r="L70" s="228"/>
      <c r="M70" s="228"/>
      <c r="N70" s="226"/>
    </row>
    <row r="71" spans="1:43">
      <c r="A71" s="31" t="s">
        <v>113</v>
      </c>
      <c r="F71" s="226"/>
      <c r="G71" s="226"/>
      <c r="H71" s="226"/>
      <c r="I71" s="226"/>
      <c r="J71" s="228"/>
      <c r="K71" s="228"/>
      <c r="L71" s="228"/>
      <c r="M71" s="228"/>
      <c r="N71" s="226"/>
    </row>
    <row r="72" spans="1:43">
      <c r="A72" s="1" t="s">
        <v>112</v>
      </c>
      <c r="F72" s="226"/>
      <c r="G72" s="226"/>
      <c r="H72" s="226"/>
      <c r="I72" s="226"/>
      <c r="J72" s="227"/>
      <c r="K72" s="227"/>
      <c r="L72" s="227"/>
      <c r="M72" s="227"/>
      <c r="N72" s="226"/>
      <c r="O72" s="99">
        <f>O26</f>
        <v>-11773.726856478412</v>
      </c>
      <c r="P72" s="99">
        <f>P26</f>
        <v>-12152.269158593506</v>
      </c>
      <c r="Q72" s="99">
        <f>Q26</f>
        <v>-12583.113127853054</v>
      </c>
      <c r="R72" s="99">
        <f>R26</f>
        <v>-13031.817721206926</v>
      </c>
      <c r="S72" s="99">
        <f>S26</f>
        <v>-13482.055073168915</v>
      </c>
      <c r="U72" s="99">
        <f>U26</f>
        <v>-14987.031096082819</v>
      </c>
      <c r="V72" s="99">
        <f>V26</f>
        <v>-20860.996813083773</v>
      </c>
      <c r="W72" s="99">
        <f>W26</f>
        <v>-21604.210131051826</v>
      </c>
      <c r="X72" s="99">
        <f>X26</f>
        <v>-22377.980719667088</v>
      </c>
      <c r="Y72" s="99">
        <f>Y26</f>
        <v>-23154.613971293431</v>
      </c>
      <c r="AA72" s="99">
        <f>AA26</f>
        <v>-18905.600368048959</v>
      </c>
      <c r="AB72" s="99">
        <f>AB26</f>
        <v>-31613.346710921232</v>
      </c>
      <c r="AC72" s="99">
        <f>AC26</f>
        <v>-32742.213935076874</v>
      </c>
      <c r="AD72" s="99">
        <f>AD26</f>
        <v>-33917.314032522074</v>
      </c>
      <c r="AE72" s="99">
        <f>AE26</f>
        <v>-35096.918262510801</v>
      </c>
      <c r="AG72" s="99">
        <f>AG26</f>
        <v>-19753.972992150408</v>
      </c>
      <c r="AH72" s="99">
        <f>AH26</f>
        <v>-34026.459713800614</v>
      </c>
      <c r="AI72" s="99">
        <f>AI26</f>
        <v>-35243.121010191084</v>
      </c>
      <c r="AJ72" s="99">
        <f>AJ26</f>
        <v>-36510.069857334558</v>
      </c>
      <c r="AK72" s="99">
        <f>AK26</f>
        <v>-37781.575788627873</v>
      </c>
      <c r="AM72" s="99">
        <f>AM26</f>
        <v>-22851.624123717782</v>
      </c>
      <c r="AN72" s="99">
        <f>AN26</f>
        <v>-37661.252692605463</v>
      </c>
      <c r="AO72" s="99">
        <f>AO26</f>
        <v>-39008.746680401848</v>
      </c>
      <c r="AP72" s="99">
        <f>AP26</f>
        <v>-40412.028500280358</v>
      </c>
      <c r="AQ72" s="99">
        <f>AQ26</f>
        <v>-41820.303921482089</v>
      </c>
    </row>
    <row r="73" spans="1:43">
      <c r="A73" s="1" t="s">
        <v>107</v>
      </c>
      <c r="F73" s="226"/>
      <c r="G73" s="226"/>
      <c r="H73" s="226"/>
      <c r="I73" s="226"/>
      <c r="J73" s="226"/>
      <c r="K73" s="226"/>
      <c r="L73" s="226"/>
      <c r="M73" s="226"/>
      <c r="N73" s="226"/>
      <c r="O73" s="99">
        <f>SUM(O31:O40)</f>
        <v>8498.901674957724</v>
      </c>
      <c r="P73" s="99">
        <f>SUM(P31:P40)</f>
        <v>8770.8665285563675</v>
      </c>
      <c r="Q73" s="99">
        <f>SUM(Q31:Q40)</f>
        <v>9104.1594566415133</v>
      </c>
      <c r="R73" s="99">
        <f>SUM(R31:R40)</f>
        <v>9468.325834907173</v>
      </c>
      <c r="S73" s="99">
        <f>SUM(S31:S40)</f>
        <v>9837.5905424685534</v>
      </c>
      <c r="U73" s="99">
        <f>SUM(U31:U40)</f>
        <v>10403.530526626217</v>
      </c>
      <c r="V73" s="99">
        <f>SUM(V31:V40)</f>
        <v>13605.957716163777</v>
      </c>
      <c r="W73" s="99">
        <f>SUM(W31:W40)</f>
        <v>14122.984109378001</v>
      </c>
      <c r="X73" s="99">
        <f>SUM(X31:X40)</f>
        <v>14687.90347375312</v>
      </c>
      <c r="Y73" s="99">
        <f>SUM(Y31:Y40)</f>
        <v>15260.731709229494</v>
      </c>
      <c r="AA73" s="99">
        <f>SUM(AA31:AA40)</f>
        <v>10822.099069004213</v>
      </c>
      <c r="AB73" s="99">
        <f>SUM(AB31:AB40)</f>
        <v>18979.940750739697</v>
      </c>
      <c r="AC73" s="99">
        <f>SUM(AC31:AC40)</f>
        <v>19464.14742789041</v>
      </c>
      <c r="AD73" s="99">
        <f>SUM(AD31:AD40)</f>
        <v>19968.759678085506</v>
      </c>
      <c r="AE73" s="99">
        <f>SUM(AE31:AE40)</f>
        <v>20483.011211966776</v>
      </c>
      <c r="AG73" s="99">
        <f>SUM(AG31:AG40)</f>
        <v>12007.073517793782</v>
      </c>
      <c r="AH73" s="99">
        <f>SUM(AH31:AH40)</f>
        <v>21040.373579216292</v>
      </c>
      <c r="AI73" s="99">
        <f>SUM(AI31:AI40)</f>
        <v>21839.907775226511</v>
      </c>
      <c r="AJ73" s="99">
        <f>SUM(AJ31:AJ40)</f>
        <v>22713.504086235575</v>
      </c>
      <c r="AK73" s="99">
        <f>SUM(AK31:AK40)</f>
        <v>23599.330745598756</v>
      </c>
      <c r="AM73" s="99">
        <f>SUM(AM31:AM40)</f>
        <v>12952.259519628449</v>
      </c>
      <c r="AN73" s="99">
        <f>SUM(AN31:AN40)</f>
        <v>22691.237230938612</v>
      </c>
      <c r="AO73" s="99">
        <f>SUM(AO31:AO40)</f>
        <v>23553.504245714277</v>
      </c>
      <c r="AP73" s="99">
        <f>SUM(AP31:AP40)</f>
        <v>24495.644415542847</v>
      </c>
      <c r="AQ73" s="99">
        <f>SUM(AQ31:AQ40)</f>
        <v>25450.974547749018</v>
      </c>
    </row>
    <row r="74" spans="1:43">
      <c r="A74" s="1" t="s">
        <v>108</v>
      </c>
      <c r="F74" s="226"/>
      <c r="G74" s="226"/>
      <c r="H74" s="226"/>
      <c r="I74" s="226"/>
      <c r="J74" s="226"/>
      <c r="K74" s="226"/>
      <c r="L74" s="226"/>
      <c r="M74" s="226"/>
      <c r="N74" s="226"/>
      <c r="O74" s="99">
        <f>SUM(O42:O50)</f>
        <v>5321.7245391282413</v>
      </c>
      <c r="P74" s="99">
        <f>SUM(P42:P50)</f>
        <v>5492.8256596842648</v>
      </c>
      <c r="Q74" s="99">
        <f>SUM(Q42:Q50)</f>
        <v>5687.5671337895801</v>
      </c>
      <c r="R74" s="99">
        <f>SUM(R42:R50)</f>
        <v>5890.3816099855303</v>
      </c>
      <c r="S74" s="99">
        <f>SUM(S42:S50)</f>
        <v>6093.8888930723497</v>
      </c>
      <c r="U74" s="99">
        <f>SUM(U42:U50)</f>
        <v>5261.9261232429162</v>
      </c>
      <c r="V74" s="99">
        <f>SUM(V42:V50)</f>
        <v>6141.8619273238564</v>
      </c>
      <c r="W74" s="99">
        <f>SUM(W42:W50)</f>
        <v>6357.6207522850982</v>
      </c>
      <c r="X74" s="99">
        <f>SUM(X42:X50)</f>
        <v>6584.6743380588996</v>
      </c>
      <c r="Y74" s="99">
        <f>SUM(Y42:Y50)</f>
        <v>6813.0974556064284</v>
      </c>
      <c r="AA74" s="99">
        <f>SUM(AA42:AA50)</f>
        <v>5061.8889353847317</v>
      </c>
      <c r="AB74" s="99">
        <f>SUM(AB42:AB50)</f>
        <v>7859.764683543066</v>
      </c>
      <c r="AC74" s="99">
        <f>SUM(AC42:AC50)</f>
        <v>8331.2260682903889</v>
      </c>
      <c r="AD74" s="99">
        <f>SUM(AD42:AD50)</f>
        <v>8855.3027029574587</v>
      </c>
      <c r="AE74" s="99">
        <f>SUM(AE42:AE50)</f>
        <v>9396.6388293608052</v>
      </c>
      <c r="AG74" s="99">
        <f>SUM(AG42:AG50)</f>
        <v>6153.5359319008821</v>
      </c>
      <c r="AH74" s="99">
        <f>SUM(AH42:AH50)</f>
        <v>9207.2348727437711</v>
      </c>
      <c r="AI74" s="99">
        <f>SUM(AI42:AI50)</f>
        <v>9613.785480935856</v>
      </c>
      <c r="AJ74" s="99">
        <f>SUM(AJ42:AJ50)</f>
        <v>10046.020773054146</v>
      </c>
      <c r="AK74" s="99">
        <f>SUM(AK42:AK50)</f>
        <v>10482.777113965614</v>
      </c>
      <c r="AM74" s="99">
        <f>SUM(AM42:AM50)</f>
        <v>7593.9246699585456</v>
      </c>
      <c r="AN74" s="99">
        <f>SUM(AN42:AN50)</f>
        <v>11096.94970399965</v>
      </c>
      <c r="AO74" s="99">
        <f>SUM(AO42:AO50)</f>
        <v>10481.147922403143</v>
      </c>
      <c r="AP74" s="99">
        <f>SUM(AP42:AP50)</f>
        <v>10966.853450363584</v>
      </c>
      <c r="AQ74" s="99">
        <f>SUM(AQ42:AQ50)</f>
        <v>11457.859848639431</v>
      </c>
    </row>
    <row r="75" spans="1:43">
      <c r="A75" s="1" t="s">
        <v>111</v>
      </c>
      <c r="F75" s="226"/>
      <c r="G75" s="226"/>
      <c r="H75" s="226"/>
      <c r="I75" s="226"/>
      <c r="J75" s="226"/>
      <c r="K75" s="226"/>
      <c r="L75" s="226"/>
      <c r="M75" s="226"/>
      <c r="N75" s="226"/>
      <c r="O75" s="99">
        <f>SUM(O58:O60)</f>
        <v>0</v>
      </c>
      <c r="P75" s="99">
        <f t="shared" ref="P75:S75" si="61">SUM(P58:P60)</f>
        <v>0</v>
      </c>
      <c r="Q75" s="99">
        <f t="shared" si="61"/>
        <v>0</v>
      </c>
      <c r="R75" s="99">
        <f t="shared" si="61"/>
        <v>0</v>
      </c>
      <c r="S75" s="99">
        <f t="shared" si="61"/>
        <v>0</v>
      </c>
      <c r="U75" s="99">
        <f t="shared" ref="U75:Y75" si="62">SUM(U58:U60)</f>
        <v>180.41726117896434</v>
      </c>
      <c r="V75" s="99">
        <f t="shared" si="62"/>
        <v>423.80382201711438</v>
      </c>
      <c r="W75" s="99">
        <f t="shared" si="62"/>
        <v>414.60621720471437</v>
      </c>
      <c r="X75" s="99">
        <f t="shared" si="62"/>
        <v>405.40861239231435</v>
      </c>
      <c r="Y75" s="99">
        <f t="shared" si="62"/>
        <v>396.21100757991439</v>
      </c>
      <c r="AA75" s="99">
        <f t="shared" ref="AA75:AE75" si="63">SUM(AA58:AA60)</f>
        <v>342.96537235792857</v>
      </c>
      <c r="AB75" s="99">
        <f t="shared" si="63"/>
        <v>805.52976403422872</v>
      </c>
      <c r="AC75" s="99">
        <f t="shared" si="63"/>
        <v>787.94263440942871</v>
      </c>
      <c r="AD75" s="99">
        <f t="shared" si="63"/>
        <v>770.35550478462869</v>
      </c>
      <c r="AE75" s="99">
        <f t="shared" si="63"/>
        <v>752.76837515982868</v>
      </c>
      <c r="AG75" s="99">
        <f t="shared" ref="AG75:AK75" si="64">SUM(AG58:AG60)</f>
        <v>668.06159471585715</v>
      </c>
      <c r="AH75" s="99">
        <f t="shared" si="64"/>
        <v>1568.9816480684574</v>
      </c>
      <c r="AI75" s="99">
        <f t="shared" si="64"/>
        <v>1534.6154688188574</v>
      </c>
      <c r="AJ75" s="99">
        <f t="shared" si="64"/>
        <v>1500.2492895692574</v>
      </c>
      <c r="AK75" s="99">
        <f t="shared" si="64"/>
        <v>1465.8831103196574</v>
      </c>
      <c r="AM75" s="99">
        <f t="shared" ref="AM75:AQ75" si="65">SUM(AM58:AM60)</f>
        <v>830.60970589482145</v>
      </c>
      <c r="AN75" s="99">
        <f t="shared" si="65"/>
        <v>1950.7075900855714</v>
      </c>
      <c r="AO75" s="99">
        <f t="shared" si="65"/>
        <v>1907.9518860235714</v>
      </c>
      <c r="AP75" s="99">
        <f t="shared" si="65"/>
        <v>1865.1961819615715</v>
      </c>
      <c r="AQ75" s="99">
        <f t="shared" si="65"/>
        <v>1822.4404778995713</v>
      </c>
    </row>
    <row r="76" spans="1:43">
      <c r="F76" s="226"/>
      <c r="G76" s="226"/>
      <c r="H76" s="226"/>
      <c r="I76" s="226"/>
      <c r="J76" s="226"/>
      <c r="K76" s="226"/>
      <c r="L76" s="226"/>
      <c r="M76" s="226"/>
      <c r="N76" s="226"/>
    </row>
    <row r="77" spans="1:43">
      <c r="F77" s="226"/>
      <c r="G77" s="226"/>
      <c r="H77" s="226"/>
      <c r="I77" s="226"/>
      <c r="J77" s="226"/>
      <c r="K77" s="226"/>
      <c r="L77" s="226"/>
      <c r="M77" s="226"/>
      <c r="N77" s="226"/>
      <c r="AB77" s="99"/>
      <c r="AC77" s="99"/>
      <c r="AD77" s="99"/>
      <c r="AE77" s="99"/>
    </row>
    <row r="78" spans="1:43">
      <c r="I78" s="13"/>
      <c r="J78" s="13"/>
      <c r="K78" s="13"/>
      <c r="L78" s="13"/>
      <c r="M78" s="13"/>
      <c r="AB78" s="99"/>
      <c r="AC78" s="99"/>
      <c r="AD78" s="99"/>
      <c r="AE78" s="99"/>
    </row>
    <row r="79" spans="1:43">
      <c r="I79" s="13"/>
      <c r="J79" s="13"/>
      <c r="K79" s="13"/>
      <c r="L79" s="13"/>
      <c r="M79" s="13"/>
    </row>
    <row r="80" spans="1:43">
      <c r="I80" s="13"/>
      <c r="J80" s="13"/>
      <c r="K80" s="13"/>
      <c r="L80" s="13"/>
      <c r="M80" s="13"/>
    </row>
    <row r="83" spans="27:31">
      <c r="AB83" s="77"/>
      <c r="AC83" s="77"/>
      <c r="AD83" s="77"/>
      <c r="AE83" s="77"/>
    </row>
    <row r="84" spans="27:31">
      <c r="AA84" s="26"/>
      <c r="AB84" s="234"/>
      <c r="AC84" s="234"/>
      <c r="AD84" s="234"/>
      <c r="AE84" s="234"/>
    </row>
  </sheetData>
  <mergeCells count="2">
    <mergeCell ref="D11:H11"/>
    <mergeCell ref="I7:M7"/>
  </mergeCells>
  <pageMargins left="0.70866141732283472" right="0.70866141732283472" top="0.74803149606299213" bottom="0.74803149606299213" header="0.31496062992125984" footer="0.31496062992125984"/>
  <pageSetup paperSize="9" scale="5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AE80"/>
  <sheetViews>
    <sheetView topLeftCell="A37" workbookViewId="0">
      <selection activeCell="B80" sqref="B80"/>
    </sheetView>
  </sheetViews>
  <sheetFormatPr baseColWidth="10" defaultColWidth="9.1640625" defaultRowHeight="14"/>
  <cols>
    <col min="1" max="1" width="4.83203125" style="1" customWidth="1"/>
    <col min="2" max="2" width="55.6640625" style="1" customWidth="1"/>
    <col min="3" max="3" width="8.83203125" style="1" customWidth="1"/>
    <col min="4" max="4" width="7.1640625" style="26" customWidth="1"/>
    <col min="5" max="5" width="9" style="26" customWidth="1"/>
    <col min="6" max="6" width="13.33203125" style="1" customWidth="1"/>
    <col min="7" max="7" width="3.5" style="1" customWidth="1"/>
    <col min="8" max="11" width="9.6640625" style="1" customWidth="1"/>
    <col min="12" max="12" width="3" style="1" customWidth="1"/>
    <col min="13" max="16" width="9.6640625" style="1" customWidth="1"/>
    <col min="17" max="17" width="1" style="1" customWidth="1"/>
    <col min="18" max="18" width="9.83203125" style="1" bestFit="1" customWidth="1"/>
    <col min="19" max="19" width="9.1640625" style="1"/>
    <col min="20" max="20" width="9.83203125" style="1" bestFit="1" customWidth="1"/>
    <col min="21" max="21" width="9.1640625" style="1"/>
    <col min="22" max="22" width="1.6640625" style="1" customWidth="1"/>
    <col min="23" max="23" width="9.83203125" style="1" bestFit="1" customWidth="1"/>
    <col min="24" max="24" width="9.1640625" style="1"/>
    <col min="25" max="25" width="9.83203125" style="1" bestFit="1" customWidth="1"/>
    <col min="26" max="26" width="9.1640625" style="1"/>
    <col min="27" max="27" width="2.1640625" style="1" customWidth="1"/>
    <col min="28" max="28" width="9.83203125" style="1" bestFit="1" customWidth="1"/>
    <col min="29" max="29" width="9.1640625" style="1"/>
    <col min="30" max="30" width="9.83203125" style="1" bestFit="1" customWidth="1"/>
    <col min="31" max="16384" width="9.1640625" style="1"/>
  </cols>
  <sheetData>
    <row r="1" spans="2:31">
      <c r="B1" s="1" t="s">
        <v>0</v>
      </c>
    </row>
    <row r="2" spans="2:31">
      <c r="B2" s="1" t="s">
        <v>1</v>
      </c>
    </row>
    <row r="3" spans="2:31">
      <c r="B3" s="1" t="s">
        <v>30</v>
      </c>
    </row>
    <row r="4" spans="2:31">
      <c r="B4" s="1" t="s">
        <v>10</v>
      </c>
      <c r="D4" s="99"/>
      <c r="E4" s="99"/>
    </row>
    <row r="5" spans="2:31" ht="16">
      <c r="B5" s="118" t="str">
        <f>'3. Summary'!$C$5</f>
        <v>North West London Elective Orthopaedic Centre (at CMH)</v>
      </c>
    </row>
    <row r="6" spans="2:31" ht="16">
      <c r="B6" s="131">
        <f>'2. Standing data'!C19</f>
        <v>45011</v>
      </c>
      <c r="F6" s="43" t="s">
        <v>52</v>
      </c>
    </row>
    <row r="7" spans="2:31">
      <c r="F7" s="43" t="s">
        <v>53</v>
      </c>
      <c r="H7" s="76" t="s">
        <v>46</v>
      </c>
    </row>
    <row r="8" spans="2:31">
      <c r="F8" s="43" t="s">
        <v>54</v>
      </c>
    </row>
    <row r="9" spans="2:31" ht="15">
      <c r="B9" s="76" t="s">
        <v>36</v>
      </c>
      <c r="F9" s="32" t="s">
        <v>55</v>
      </c>
      <c r="H9" s="32" t="s">
        <v>21</v>
      </c>
      <c r="I9" s="32" t="s">
        <v>21</v>
      </c>
      <c r="J9" s="32" t="s">
        <v>21</v>
      </c>
      <c r="K9" s="32" t="s">
        <v>21</v>
      </c>
      <c r="M9" s="32" t="s">
        <v>22</v>
      </c>
      <c r="N9" s="32" t="s">
        <v>22</v>
      </c>
      <c r="O9" s="32" t="s">
        <v>22</v>
      </c>
      <c r="P9" s="32" t="s">
        <v>22</v>
      </c>
      <c r="R9" s="32" t="s">
        <v>23</v>
      </c>
      <c r="S9" s="32" t="s">
        <v>23</v>
      </c>
      <c r="T9" s="32" t="s">
        <v>23</v>
      </c>
      <c r="U9" s="32" t="s">
        <v>23</v>
      </c>
      <c r="W9" s="32" t="s">
        <v>24</v>
      </c>
      <c r="X9" s="32" t="s">
        <v>24</v>
      </c>
      <c r="Y9" s="32" t="s">
        <v>24</v>
      </c>
      <c r="Z9" s="32" t="s">
        <v>24</v>
      </c>
      <c r="AB9" s="32" t="s">
        <v>25</v>
      </c>
      <c r="AC9" s="32" t="s">
        <v>25</v>
      </c>
      <c r="AD9" s="32" t="s">
        <v>25</v>
      </c>
      <c r="AE9" s="32" t="s">
        <v>25</v>
      </c>
    </row>
    <row r="10" spans="2:31" ht="15">
      <c r="B10" s="89" t="str">
        <f>'2. Standing data'!C13</f>
        <v xml:space="preserve"> Do Nothing (LNWH)</v>
      </c>
      <c r="F10" s="72"/>
      <c r="H10" s="72"/>
      <c r="I10" s="72"/>
      <c r="J10" s="72"/>
      <c r="K10" s="73"/>
      <c r="M10" s="72"/>
      <c r="N10" s="72"/>
      <c r="O10" s="72"/>
      <c r="P10" s="73"/>
      <c r="R10" s="72"/>
      <c r="S10" s="72"/>
      <c r="T10" s="72"/>
      <c r="U10" s="73"/>
      <c r="W10" s="72"/>
      <c r="X10" s="72"/>
      <c r="Y10" s="72"/>
      <c r="Z10" s="73"/>
      <c r="AB10" s="72"/>
      <c r="AC10" s="72"/>
      <c r="AD10" s="72"/>
      <c r="AE10" s="73"/>
    </row>
    <row r="11" spans="2:31" ht="15">
      <c r="C11" s="1" t="s">
        <v>73</v>
      </c>
      <c r="D11" s="26" t="s">
        <v>45</v>
      </c>
      <c r="E11" s="26" t="s">
        <v>99</v>
      </c>
      <c r="F11" s="34" t="s">
        <v>26</v>
      </c>
      <c r="H11" s="34" t="s">
        <v>26</v>
      </c>
      <c r="I11" s="34" t="s">
        <v>26</v>
      </c>
      <c r="J11" s="34" t="s">
        <v>26</v>
      </c>
      <c r="K11" s="41" t="s">
        <v>26</v>
      </c>
      <c r="M11" s="34" t="s">
        <v>26</v>
      </c>
      <c r="N11" s="34" t="s">
        <v>26</v>
      </c>
      <c r="O11" s="34" t="s">
        <v>26</v>
      </c>
      <c r="P11" s="41" t="s">
        <v>26</v>
      </c>
      <c r="R11" s="34" t="s">
        <v>26</v>
      </c>
      <c r="S11" s="34" t="s">
        <v>26</v>
      </c>
      <c r="T11" s="34" t="s">
        <v>26</v>
      </c>
      <c r="U11" s="41" t="s">
        <v>26</v>
      </c>
      <c r="W11" s="34" t="s">
        <v>26</v>
      </c>
      <c r="X11" s="34" t="s">
        <v>26</v>
      </c>
      <c r="Y11" s="34" t="s">
        <v>26</v>
      </c>
      <c r="Z11" s="41" t="s">
        <v>26</v>
      </c>
      <c r="AB11" s="34" t="s">
        <v>26</v>
      </c>
      <c r="AC11" s="34" t="s">
        <v>26</v>
      </c>
      <c r="AD11" s="34" t="s">
        <v>26</v>
      </c>
      <c r="AE11" s="41" t="s">
        <v>26</v>
      </c>
    </row>
    <row r="12" spans="2:31">
      <c r="B12" s="31"/>
      <c r="C12" s="31"/>
      <c r="F12" s="39"/>
      <c r="H12" s="40" t="s">
        <v>47</v>
      </c>
      <c r="I12" s="40" t="s">
        <v>48</v>
      </c>
      <c r="J12" s="40" t="s">
        <v>50</v>
      </c>
      <c r="K12" s="42" t="s">
        <v>51</v>
      </c>
      <c r="M12" s="40" t="s">
        <v>47</v>
      </c>
      <c r="N12" s="40" t="s">
        <v>48</v>
      </c>
      <c r="O12" s="40" t="s">
        <v>50</v>
      </c>
      <c r="P12" s="42" t="s">
        <v>51</v>
      </c>
      <c r="R12" s="40" t="s">
        <v>47</v>
      </c>
      <c r="S12" s="40" t="s">
        <v>48</v>
      </c>
      <c r="T12" s="40" t="s">
        <v>50</v>
      </c>
      <c r="U12" s="42" t="s">
        <v>51</v>
      </c>
      <c r="W12" s="40" t="s">
        <v>47</v>
      </c>
      <c r="X12" s="40" t="s">
        <v>48</v>
      </c>
      <c r="Y12" s="40" t="s">
        <v>50</v>
      </c>
      <c r="Z12" s="42" t="s">
        <v>51</v>
      </c>
      <c r="AB12" s="40" t="s">
        <v>47</v>
      </c>
      <c r="AC12" s="40" t="s">
        <v>48</v>
      </c>
      <c r="AD12" s="40" t="s">
        <v>50</v>
      </c>
      <c r="AE12" s="42" t="s">
        <v>51</v>
      </c>
    </row>
    <row r="13" spans="2:31" ht="12.75" customHeight="1">
      <c r="B13" s="31"/>
      <c r="C13" s="1" t="s">
        <v>75</v>
      </c>
      <c r="D13" s="26">
        <v>25</v>
      </c>
      <c r="F13" s="4"/>
      <c r="H13" s="5">
        <f t="shared" ref="H13:H20" si="0">F13</f>
        <v>0</v>
      </c>
      <c r="I13" s="5">
        <f t="shared" ref="I13:I20" si="1">$F13/$D13</f>
        <v>0</v>
      </c>
      <c r="J13" s="5">
        <f t="shared" ref="J13:J20" si="2">F13-I13</f>
        <v>0</v>
      </c>
      <c r="K13" s="19">
        <f t="shared" ref="K13:K20" si="3">((H13+J13)/2)*0.035</f>
        <v>0</v>
      </c>
      <c r="M13" s="5">
        <f t="shared" ref="M13:M20" si="4">J13</f>
        <v>0</v>
      </c>
      <c r="N13" s="5">
        <f t="shared" ref="N13:N20" si="5">$F13/$D13</f>
        <v>0</v>
      </c>
      <c r="O13" s="5">
        <f t="shared" ref="O13:O20" si="6">M13-N13</f>
        <v>0</v>
      </c>
      <c r="P13" s="19">
        <f t="shared" ref="P13:P20" si="7">((M13+O13)/2)*0.035</f>
        <v>0</v>
      </c>
      <c r="R13" s="5">
        <f t="shared" ref="R13:R20" si="8">O13</f>
        <v>0</v>
      </c>
      <c r="S13" s="5">
        <f t="shared" ref="S13:S20" si="9">$F13/$D13</f>
        <v>0</v>
      </c>
      <c r="T13" s="5">
        <f t="shared" ref="T13:T20" si="10">R13-S13</f>
        <v>0</v>
      </c>
      <c r="U13" s="19">
        <f t="shared" ref="U13:U20" si="11">((R13+T13)/2)*0.035</f>
        <v>0</v>
      </c>
      <c r="W13" s="5">
        <f t="shared" ref="W13:W20" si="12">T13</f>
        <v>0</v>
      </c>
      <c r="X13" s="5">
        <f t="shared" ref="X13:X20" si="13">$F13/$D13</f>
        <v>0</v>
      </c>
      <c r="Y13" s="5">
        <f t="shared" ref="Y13:Y20" si="14">W13-X13</f>
        <v>0</v>
      </c>
      <c r="Z13" s="19">
        <f t="shared" ref="Z13:Z20" si="15">((W13+Y13)/2)*0.035</f>
        <v>0</v>
      </c>
      <c r="AB13" s="5">
        <f t="shared" ref="AB13:AB20" si="16">Y13</f>
        <v>0</v>
      </c>
      <c r="AC13" s="5">
        <f t="shared" ref="AC13:AC20" si="17">$F13/$D13</f>
        <v>0</v>
      </c>
      <c r="AD13" s="5">
        <f t="shared" ref="AD13:AD20" si="18">AB13-AC13</f>
        <v>0</v>
      </c>
      <c r="AE13" s="19">
        <f t="shared" ref="AE13:AE20" si="19">((AB13+AD13)/2)*0.035</f>
        <v>0</v>
      </c>
    </row>
    <row r="14" spans="2:31" ht="12.75" customHeight="1">
      <c r="B14" s="31"/>
      <c r="C14" s="1" t="s">
        <v>75</v>
      </c>
      <c r="D14" s="26">
        <v>25</v>
      </c>
      <c r="F14" s="4"/>
      <c r="H14" s="5">
        <f t="shared" si="0"/>
        <v>0</v>
      </c>
      <c r="I14" s="5">
        <f t="shared" si="1"/>
        <v>0</v>
      </c>
      <c r="J14" s="5">
        <f t="shared" si="2"/>
        <v>0</v>
      </c>
      <c r="K14" s="19">
        <f t="shared" si="3"/>
        <v>0</v>
      </c>
      <c r="M14" s="5">
        <f t="shared" si="4"/>
        <v>0</v>
      </c>
      <c r="N14" s="5">
        <f t="shared" si="5"/>
        <v>0</v>
      </c>
      <c r="O14" s="5">
        <f t="shared" si="6"/>
        <v>0</v>
      </c>
      <c r="P14" s="19">
        <f t="shared" si="7"/>
        <v>0</v>
      </c>
      <c r="R14" s="5">
        <f t="shared" si="8"/>
        <v>0</v>
      </c>
      <c r="S14" s="5">
        <f t="shared" si="9"/>
        <v>0</v>
      </c>
      <c r="T14" s="5">
        <f t="shared" si="10"/>
        <v>0</v>
      </c>
      <c r="U14" s="19">
        <f t="shared" si="11"/>
        <v>0</v>
      </c>
      <c r="W14" s="5">
        <f t="shared" si="12"/>
        <v>0</v>
      </c>
      <c r="X14" s="5">
        <f t="shared" si="13"/>
        <v>0</v>
      </c>
      <c r="Y14" s="5">
        <f t="shared" si="14"/>
        <v>0</v>
      </c>
      <c r="Z14" s="19">
        <f t="shared" si="15"/>
        <v>0</v>
      </c>
      <c r="AB14" s="5">
        <f t="shared" si="16"/>
        <v>0</v>
      </c>
      <c r="AC14" s="5">
        <f t="shared" si="17"/>
        <v>0</v>
      </c>
      <c r="AD14" s="5">
        <f t="shared" si="18"/>
        <v>0</v>
      </c>
      <c r="AE14" s="19">
        <f t="shared" si="19"/>
        <v>0</v>
      </c>
    </row>
    <row r="15" spans="2:31" ht="12.75" customHeight="1">
      <c r="B15" s="31"/>
      <c r="C15" s="1" t="s">
        <v>75</v>
      </c>
      <c r="D15" s="26">
        <v>25</v>
      </c>
      <c r="F15" s="4"/>
      <c r="H15" s="5">
        <f t="shared" si="0"/>
        <v>0</v>
      </c>
      <c r="I15" s="5">
        <f t="shared" si="1"/>
        <v>0</v>
      </c>
      <c r="J15" s="5">
        <f t="shared" si="2"/>
        <v>0</v>
      </c>
      <c r="K15" s="19">
        <f t="shared" si="3"/>
        <v>0</v>
      </c>
      <c r="M15" s="5">
        <f t="shared" si="4"/>
        <v>0</v>
      </c>
      <c r="N15" s="5">
        <f t="shared" si="5"/>
        <v>0</v>
      </c>
      <c r="O15" s="5">
        <f t="shared" si="6"/>
        <v>0</v>
      </c>
      <c r="P15" s="19">
        <f t="shared" si="7"/>
        <v>0</v>
      </c>
      <c r="R15" s="5">
        <f t="shared" si="8"/>
        <v>0</v>
      </c>
      <c r="S15" s="5">
        <f t="shared" si="9"/>
        <v>0</v>
      </c>
      <c r="T15" s="5">
        <f t="shared" si="10"/>
        <v>0</v>
      </c>
      <c r="U15" s="19">
        <f t="shared" si="11"/>
        <v>0</v>
      </c>
      <c r="W15" s="5">
        <f t="shared" si="12"/>
        <v>0</v>
      </c>
      <c r="X15" s="5">
        <f t="shared" si="13"/>
        <v>0</v>
      </c>
      <c r="Y15" s="5">
        <f t="shared" si="14"/>
        <v>0</v>
      </c>
      <c r="Z15" s="19">
        <f t="shared" si="15"/>
        <v>0</v>
      </c>
      <c r="AB15" s="5">
        <f t="shared" si="16"/>
        <v>0</v>
      </c>
      <c r="AC15" s="5">
        <f t="shared" si="17"/>
        <v>0</v>
      </c>
      <c r="AD15" s="5">
        <f t="shared" si="18"/>
        <v>0</v>
      </c>
      <c r="AE15" s="19">
        <f t="shared" si="19"/>
        <v>0</v>
      </c>
    </row>
    <row r="16" spans="2:31" ht="12.75" customHeight="1">
      <c r="B16" s="31"/>
      <c r="C16" s="1" t="s">
        <v>74</v>
      </c>
      <c r="D16" s="26">
        <v>7</v>
      </c>
      <c r="F16" s="4"/>
      <c r="H16" s="5">
        <f t="shared" si="0"/>
        <v>0</v>
      </c>
      <c r="I16" s="5">
        <f t="shared" si="1"/>
        <v>0</v>
      </c>
      <c r="J16" s="5">
        <f t="shared" si="2"/>
        <v>0</v>
      </c>
      <c r="K16" s="19">
        <f t="shared" si="3"/>
        <v>0</v>
      </c>
      <c r="M16" s="5">
        <f t="shared" si="4"/>
        <v>0</v>
      </c>
      <c r="N16" s="5">
        <f t="shared" si="5"/>
        <v>0</v>
      </c>
      <c r="O16" s="5">
        <f t="shared" si="6"/>
        <v>0</v>
      </c>
      <c r="P16" s="19">
        <f t="shared" si="7"/>
        <v>0</v>
      </c>
      <c r="R16" s="5">
        <f t="shared" si="8"/>
        <v>0</v>
      </c>
      <c r="S16" s="5">
        <f t="shared" si="9"/>
        <v>0</v>
      </c>
      <c r="T16" s="5">
        <f t="shared" si="10"/>
        <v>0</v>
      </c>
      <c r="U16" s="19">
        <f t="shared" si="11"/>
        <v>0</v>
      </c>
      <c r="W16" s="5">
        <f t="shared" si="12"/>
        <v>0</v>
      </c>
      <c r="X16" s="5">
        <f t="shared" si="13"/>
        <v>0</v>
      </c>
      <c r="Y16" s="5">
        <f t="shared" si="14"/>
        <v>0</v>
      </c>
      <c r="Z16" s="19">
        <f t="shared" si="15"/>
        <v>0</v>
      </c>
      <c r="AB16" s="5">
        <f t="shared" si="16"/>
        <v>0</v>
      </c>
      <c r="AC16" s="5">
        <f t="shared" si="17"/>
        <v>0</v>
      </c>
      <c r="AD16" s="5">
        <f t="shared" si="18"/>
        <v>0</v>
      </c>
      <c r="AE16" s="19">
        <f t="shared" si="19"/>
        <v>0</v>
      </c>
    </row>
    <row r="17" spans="2:31" ht="12.75" customHeight="1">
      <c r="B17" s="31"/>
      <c r="C17" s="1" t="s">
        <v>74</v>
      </c>
      <c r="D17" s="26">
        <v>7</v>
      </c>
      <c r="F17" s="4"/>
      <c r="H17" s="5">
        <f t="shared" si="0"/>
        <v>0</v>
      </c>
      <c r="I17" s="5">
        <f t="shared" si="1"/>
        <v>0</v>
      </c>
      <c r="J17" s="5">
        <f t="shared" si="2"/>
        <v>0</v>
      </c>
      <c r="K17" s="19">
        <f t="shared" si="3"/>
        <v>0</v>
      </c>
      <c r="M17" s="5">
        <f t="shared" si="4"/>
        <v>0</v>
      </c>
      <c r="N17" s="5">
        <f t="shared" si="5"/>
        <v>0</v>
      </c>
      <c r="O17" s="5">
        <f t="shared" si="6"/>
        <v>0</v>
      </c>
      <c r="P17" s="19">
        <f t="shared" si="7"/>
        <v>0</v>
      </c>
      <c r="R17" s="5">
        <f t="shared" si="8"/>
        <v>0</v>
      </c>
      <c r="S17" s="5">
        <f t="shared" si="9"/>
        <v>0</v>
      </c>
      <c r="T17" s="5">
        <f t="shared" si="10"/>
        <v>0</v>
      </c>
      <c r="U17" s="19">
        <f t="shared" si="11"/>
        <v>0</v>
      </c>
      <c r="W17" s="5">
        <f t="shared" si="12"/>
        <v>0</v>
      </c>
      <c r="X17" s="5">
        <f t="shared" si="13"/>
        <v>0</v>
      </c>
      <c r="Y17" s="5">
        <f t="shared" si="14"/>
        <v>0</v>
      </c>
      <c r="Z17" s="19">
        <f t="shared" si="15"/>
        <v>0</v>
      </c>
      <c r="AB17" s="5">
        <f t="shared" si="16"/>
        <v>0</v>
      </c>
      <c r="AC17" s="5">
        <f t="shared" si="17"/>
        <v>0</v>
      </c>
      <c r="AD17" s="5">
        <f t="shared" si="18"/>
        <v>0</v>
      </c>
      <c r="AE17" s="19">
        <f t="shared" si="19"/>
        <v>0</v>
      </c>
    </row>
    <row r="18" spans="2:31" ht="12.75" customHeight="1">
      <c r="C18" s="1" t="s">
        <v>74</v>
      </c>
      <c r="D18" s="26">
        <v>7</v>
      </c>
      <c r="F18" s="4"/>
      <c r="H18" s="5">
        <f t="shared" si="0"/>
        <v>0</v>
      </c>
      <c r="I18" s="5">
        <f t="shared" si="1"/>
        <v>0</v>
      </c>
      <c r="J18" s="5">
        <f t="shared" si="2"/>
        <v>0</v>
      </c>
      <c r="K18" s="19">
        <f t="shared" si="3"/>
        <v>0</v>
      </c>
      <c r="M18" s="5">
        <f t="shared" si="4"/>
        <v>0</v>
      </c>
      <c r="N18" s="5">
        <f t="shared" si="5"/>
        <v>0</v>
      </c>
      <c r="O18" s="5">
        <f t="shared" si="6"/>
        <v>0</v>
      </c>
      <c r="P18" s="19">
        <f t="shared" si="7"/>
        <v>0</v>
      </c>
      <c r="R18" s="5">
        <f t="shared" si="8"/>
        <v>0</v>
      </c>
      <c r="S18" s="5">
        <f t="shared" si="9"/>
        <v>0</v>
      </c>
      <c r="T18" s="5">
        <f t="shared" si="10"/>
        <v>0</v>
      </c>
      <c r="U18" s="19">
        <f t="shared" si="11"/>
        <v>0</v>
      </c>
      <c r="W18" s="5">
        <f t="shared" si="12"/>
        <v>0</v>
      </c>
      <c r="X18" s="5">
        <f t="shared" si="13"/>
        <v>0</v>
      </c>
      <c r="Y18" s="5">
        <f t="shared" si="14"/>
        <v>0</v>
      </c>
      <c r="Z18" s="19">
        <f t="shared" si="15"/>
        <v>0</v>
      </c>
      <c r="AB18" s="5">
        <f t="shared" si="16"/>
        <v>0</v>
      </c>
      <c r="AC18" s="5">
        <f t="shared" si="17"/>
        <v>0</v>
      </c>
      <c r="AD18" s="5">
        <f t="shared" si="18"/>
        <v>0</v>
      </c>
      <c r="AE18" s="19">
        <f t="shared" si="19"/>
        <v>0</v>
      </c>
    </row>
    <row r="19" spans="2:31" ht="12.75" customHeight="1">
      <c r="C19" s="1" t="s">
        <v>31</v>
      </c>
      <c r="D19" s="26">
        <v>5</v>
      </c>
      <c r="F19" s="4"/>
      <c r="H19" s="5">
        <f t="shared" si="0"/>
        <v>0</v>
      </c>
      <c r="I19" s="5">
        <f t="shared" si="1"/>
        <v>0</v>
      </c>
      <c r="J19" s="5">
        <f t="shared" si="2"/>
        <v>0</v>
      </c>
      <c r="K19" s="19">
        <f t="shared" si="3"/>
        <v>0</v>
      </c>
      <c r="M19" s="5">
        <f t="shared" si="4"/>
        <v>0</v>
      </c>
      <c r="N19" s="5">
        <f t="shared" si="5"/>
        <v>0</v>
      </c>
      <c r="O19" s="5">
        <f t="shared" si="6"/>
        <v>0</v>
      </c>
      <c r="P19" s="19">
        <f t="shared" si="7"/>
        <v>0</v>
      </c>
      <c r="R19" s="5">
        <f t="shared" si="8"/>
        <v>0</v>
      </c>
      <c r="S19" s="5">
        <f t="shared" si="9"/>
        <v>0</v>
      </c>
      <c r="T19" s="5">
        <f t="shared" si="10"/>
        <v>0</v>
      </c>
      <c r="U19" s="19">
        <f t="shared" si="11"/>
        <v>0</v>
      </c>
      <c r="W19" s="5">
        <f t="shared" si="12"/>
        <v>0</v>
      </c>
      <c r="X19" s="5">
        <f t="shared" si="13"/>
        <v>0</v>
      </c>
      <c r="Y19" s="5">
        <f t="shared" si="14"/>
        <v>0</v>
      </c>
      <c r="Z19" s="19">
        <f t="shared" si="15"/>
        <v>0</v>
      </c>
      <c r="AB19" s="5">
        <f t="shared" si="16"/>
        <v>0</v>
      </c>
      <c r="AC19" s="5">
        <f t="shared" si="17"/>
        <v>0</v>
      </c>
      <c r="AD19" s="5">
        <f t="shared" si="18"/>
        <v>0</v>
      </c>
      <c r="AE19" s="19">
        <f t="shared" si="19"/>
        <v>0</v>
      </c>
    </row>
    <row r="20" spans="2:31" ht="12.75" customHeight="1">
      <c r="C20" s="1" t="s">
        <v>31</v>
      </c>
      <c r="D20" s="26">
        <v>3</v>
      </c>
      <c r="F20" s="4"/>
      <c r="H20" s="5">
        <f t="shared" si="0"/>
        <v>0</v>
      </c>
      <c r="I20" s="5">
        <f t="shared" si="1"/>
        <v>0</v>
      </c>
      <c r="J20" s="5">
        <f t="shared" si="2"/>
        <v>0</v>
      </c>
      <c r="K20" s="19">
        <f t="shared" si="3"/>
        <v>0</v>
      </c>
      <c r="M20" s="5">
        <f t="shared" si="4"/>
        <v>0</v>
      </c>
      <c r="N20" s="5">
        <f t="shared" si="5"/>
        <v>0</v>
      </c>
      <c r="O20" s="5">
        <f t="shared" si="6"/>
        <v>0</v>
      </c>
      <c r="P20" s="19">
        <f t="shared" si="7"/>
        <v>0</v>
      </c>
      <c r="R20" s="5">
        <f t="shared" si="8"/>
        <v>0</v>
      </c>
      <c r="S20" s="5">
        <f t="shared" si="9"/>
        <v>0</v>
      </c>
      <c r="T20" s="5">
        <f t="shared" si="10"/>
        <v>0</v>
      </c>
      <c r="U20" s="19">
        <f t="shared" si="11"/>
        <v>0</v>
      </c>
      <c r="W20" s="5">
        <f t="shared" si="12"/>
        <v>0</v>
      </c>
      <c r="X20" s="5">
        <f t="shared" si="13"/>
        <v>0</v>
      </c>
      <c r="Y20" s="5">
        <f t="shared" si="14"/>
        <v>0</v>
      </c>
      <c r="Z20" s="19">
        <f t="shared" si="15"/>
        <v>0</v>
      </c>
      <c r="AB20" s="5">
        <f t="shared" si="16"/>
        <v>0</v>
      </c>
      <c r="AC20" s="5">
        <f t="shared" si="17"/>
        <v>0</v>
      </c>
      <c r="AD20" s="5">
        <f t="shared" si="18"/>
        <v>0</v>
      </c>
      <c r="AE20" s="19">
        <f t="shared" si="19"/>
        <v>0</v>
      </c>
    </row>
    <row r="21" spans="2:31" s="76" customFormat="1" ht="12.75" customHeight="1">
      <c r="B21" s="76" t="s">
        <v>32</v>
      </c>
      <c r="D21" s="77"/>
      <c r="E21" s="77"/>
      <c r="F21" s="78">
        <f>SUM(F13:F20)</f>
        <v>0</v>
      </c>
      <c r="H21" s="78">
        <f>SUM(H13:H20)</f>
        <v>0</v>
      </c>
      <c r="I21" s="79">
        <f>SUM(I13:I20)</f>
        <v>0</v>
      </c>
      <c r="J21" s="78">
        <f>SUM(J13:J20)</f>
        <v>0</v>
      </c>
      <c r="K21" s="80">
        <f>SUM(K13:K20)</f>
        <v>0</v>
      </c>
      <c r="M21" s="78">
        <f>SUM(M13:M20)</f>
        <v>0</v>
      </c>
      <c r="N21" s="79">
        <f>SUM(N13:N20)</f>
        <v>0</v>
      </c>
      <c r="O21" s="78">
        <f>SUM(O13:O20)</f>
        <v>0</v>
      </c>
      <c r="P21" s="80">
        <f>SUM(P13:P20)</f>
        <v>0</v>
      </c>
      <c r="R21" s="78">
        <f>SUM(R13:R20)</f>
        <v>0</v>
      </c>
      <c r="S21" s="79">
        <f>SUM(S13:S20)</f>
        <v>0</v>
      </c>
      <c r="T21" s="78">
        <f>SUM(T13:T20)</f>
        <v>0</v>
      </c>
      <c r="U21" s="80">
        <f>SUM(U13:U20)</f>
        <v>0</v>
      </c>
      <c r="W21" s="78">
        <f>SUM(W13:W20)</f>
        <v>0</v>
      </c>
      <c r="X21" s="79">
        <f>SUM(X13:X20)</f>
        <v>0</v>
      </c>
      <c r="Y21" s="78">
        <f>SUM(Y13:Y20)</f>
        <v>0</v>
      </c>
      <c r="Z21" s="80">
        <f>SUM(Z13:Z20)</f>
        <v>0</v>
      </c>
      <c r="AB21" s="78">
        <f>SUM(AB13:AB20)</f>
        <v>0</v>
      </c>
      <c r="AC21" s="79">
        <f>SUM(AC13:AC20)</f>
        <v>0</v>
      </c>
      <c r="AD21" s="78">
        <f>SUM(AD13:AD20)</f>
        <v>0</v>
      </c>
      <c r="AE21" s="80">
        <f>SUM(AE13:AE20)</f>
        <v>0</v>
      </c>
    </row>
    <row r="22" spans="2:31">
      <c r="F22" s="26"/>
    </row>
    <row r="23" spans="2:31" ht="15">
      <c r="B23" s="76" t="s">
        <v>16</v>
      </c>
      <c r="F23" s="32" t="s">
        <v>2</v>
      </c>
      <c r="H23" s="32" t="s">
        <v>21</v>
      </c>
      <c r="I23" s="32" t="s">
        <v>21</v>
      </c>
      <c r="J23" s="32" t="s">
        <v>21</v>
      </c>
      <c r="K23" s="32" t="s">
        <v>21</v>
      </c>
      <c r="M23" s="32" t="s">
        <v>22</v>
      </c>
      <c r="N23" s="32" t="s">
        <v>22</v>
      </c>
      <c r="O23" s="32" t="s">
        <v>22</v>
      </c>
      <c r="P23" s="32" t="s">
        <v>22</v>
      </c>
      <c r="R23" s="32" t="s">
        <v>23</v>
      </c>
      <c r="S23" s="32" t="s">
        <v>23</v>
      </c>
      <c r="T23" s="32" t="s">
        <v>23</v>
      </c>
      <c r="U23" s="32" t="s">
        <v>23</v>
      </c>
      <c r="W23" s="32" t="s">
        <v>24</v>
      </c>
      <c r="X23" s="32" t="s">
        <v>24</v>
      </c>
      <c r="Y23" s="32" t="s">
        <v>24</v>
      </c>
      <c r="Z23" s="32" t="s">
        <v>24</v>
      </c>
      <c r="AB23" s="32" t="s">
        <v>25</v>
      </c>
      <c r="AC23" s="32" t="s">
        <v>25</v>
      </c>
      <c r="AD23" s="32" t="s">
        <v>25</v>
      </c>
      <c r="AE23" s="32" t="s">
        <v>25</v>
      </c>
    </row>
    <row r="24" spans="2:31" ht="26.25" customHeight="1">
      <c r="B24" s="89" t="str">
        <f>'2. Standing data'!C14</f>
        <v>LNWH DC &amp; IP + NWL Hips &amp; Knees</v>
      </c>
      <c r="F24" s="72"/>
      <c r="H24" s="72"/>
      <c r="I24" s="72"/>
      <c r="J24" s="72"/>
      <c r="K24" s="73"/>
      <c r="M24" s="72"/>
      <c r="N24" s="72"/>
      <c r="O24" s="72"/>
      <c r="P24" s="73"/>
      <c r="R24" s="72"/>
      <c r="S24" s="72"/>
      <c r="T24" s="72"/>
      <c r="U24" s="73"/>
      <c r="W24" s="72"/>
      <c r="X24" s="72"/>
      <c r="Y24" s="72"/>
      <c r="Z24" s="73"/>
      <c r="AB24" s="72"/>
      <c r="AC24" s="72"/>
      <c r="AD24" s="72"/>
      <c r="AE24" s="73"/>
    </row>
    <row r="25" spans="2:31" ht="15">
      <c r="D25" s="26" t="s">
        <v>45</v>
      </c>
      <c r="E25" s="26" t="s">
        <v>99</v>
      </c>
      <c r="F25" s="34" t="s">
        <v>26</v>
      </c>
      <c r="H25" s="34" t="s">
        <v>26</v>
      </c>
      <c r="I25" s="34" t="s">
        <v>26</v>
      </c>
      <c r="J25" s="34" t="s">
        <v>26</v>
      </c>
      <c r="K25" s="41" t="s">
        <v>26</v>
      </c>
      <c r="M25" s="34" t="s">
        <v>26</v>
      </c>
      <c r="N25" s="34" t="s">
        <v>26</v>
      </c>
      <c r="O25" s="34" t="s">
        <v>26</v>
      </c>
      <c r="P25" s="41" t="s">
        <v>26</v>
      </c>
      <c r="R25" s="34" t="s">
        <v>26</v>
      </c>
      <c r="S25" s="34" t="s">
        <v>26</v>
      </c>
      <c r="T25" s="34" t="s">
        <v>26</v>
      </c>
      <c r="U25" s="41" t="s">
        <v>26</v>
      </c>
      <c r="W25" s="34" t="s">
        <v>26</v>
      </c>
      <c r="X25" s="34" t="s">
        <v>26</v>
      </c>
      <c r="Y25" s="34" t="s">
        <v>26</v>
      </c>
      <c r="Z25" s="41" t="s">
        <v>26</v>
      </c>
      <c r="AB25" s="34" t="s">
        <v>26</v>
      </c>
      <c r="AC25" s="34" t="s">
        <v>26</v>
      </c>
      <c r="AD25" s="34" t="s">
        <v>26</v>
      </c>
      <c r="AE25" s="41" t="s">
        <v>26</v>
      </c>
    </row>
    <row r="26" spans="2:31">
      <c r="B26" s="31"/>
      <c r="C26" s="31"/>
      <c r="F26" s="39"/>
      <c r="H26" s="40" t="s">
        <v>47</v>
      </c>
      <c r="I26" s="40" t="s">
        <v>48</v>
      </c>
      <c r="J26" s="40" t="s">
        <v>50</v>
      </c>
      <c r="K26" s="42" t="s">
        <v>51</v>
      </c>
      <c r="M26" s="40" t="s">
        <v>47</v>
      </c>
      <c r="N26" s="40" t="s">
        <v>48</v>
      </c>
      <c r="O26" s="40" t="s">
        <v>50</v>
      </c>
      <c r="P26" s="42" t="s">
        <v>51</v>
      </c>
      <c r="R26" s="40" t="s">
        <v>47</v>
      </c>
      <c r="S26" s="40" t="s">
        <v>48</v>
      </c>
      <c r="T26" s="40" t="s">
        <v>50</v>
      </c>
      <c r="U26" s="42" t="s">
        <v>51</v>
      </c>
      <c r="W26" s="40" t="s">
        <v>47</v>
      </c>
      <c r="X26" s="40" t="s">
        <v>48</v>
      </c>
      <c r="Y26" s="40" t="s">
        <v>50</v>
      </c>
      <c r="Z26" s="42" t="s">
        <v>51</v>
      </c>
      <c r="AB26" s="40" t="s">
        <v>47</v>
      </c>
      <c r="AC26" s="40" t="s">
        <v>48</v>
      </c>
      <c r="AD26" s="40" t="s">
        <v>50</v>
      </c>
      <c r="AE26" s="42" t="s">
        <v>51</v>
      </c>
    </row>
    <row r="27" spans="2:31" ht="12.75" customHeight="1">
      <c r="B27" s="31" t="str">
        <f>'7b. Capital Charges'!A5</f>
        <v>Refurbishment (Aligned to PAC Development) (25 Years useful life)</v>
      </c>
      <c r="C27" s="1" t="s">
        <v>75</v>
      </c>
      <c r="D27" s="26">
        <v>25</v>
      </c>
      <c r="F27" s="4">
        <f>'7b. Capital Charges'!C5/1000</f>
        <v>3804.8748660000006</v>
      </c>
      <c r="H27" s="5">
        <f t="shared" ref="H27:H34" si="20">F27</f>
        <v>3804.8748660000006</v>
      </c>
      <c r="I27" s="5">
        <f t="shared" ref="I27:I34" si="21">$F27/$D27</f>
        <v>152.19499464000003</v>
      </c>
      <c r="J27" s="5">
        <f t="shared" ref="J27:J34" si="22">F27-I27</f>
        <v>3652.6798713600006</v>
      </c>
      <c r="K27" s="19">
        <f>((H27+J27)/2)*0.035</f>
        <v>130.50720790380004</v>
      </c>
      <c r="M27" s="5">
        <f t="shared" ref="M27:M34" si="23">J27</f>
        <v>3652.6798713600006</v>
      </c>
      <c r="N27" s="5">
        <f t="shared" ref="N27:N34" si="24">$F27/$D27</f>
        <v>152.19499464000003</v>
      </c>
      <c r="O27" s="5">
        <f t="shared" ref="O27:O34" si="25">M27-N27</f>
        <v>3500.4848767200006</v>
      </c>
      <c r="P27" s="19">
        <f t="shared" ref="P27:P34" si="26">((M27+O27)/2)*0.035</f>
        <v>125.18038309140003</v>
      </c>
      <c r="R27" s="5">
        <f t="shared" ref="R27:R34" si="27">O27</f>
        <v>3500.4848767200006</v>
      </c>
      <c r="S27" s="5">
        <f t="shared" ref="S27:S34" si="28">$F27/$D27</f>
        <v>152.19499464000003</v>
      </c>
      <c r="T27" s="5">
        <f t="shared" ref="T27:T34" si="29">R27-S27</f>
        <v>3348.2898820800006</v>
      </c>
      <c r="U27" s="19">
        <f t="shared" ref="U27:U34" si="30">((R27+T27)/2)*0.035</f>
        <v>119.85355827900003</v>
      </c>
      <c r="W27" s="5">
        <f t="shared" ref="W27:W34" si="31">T27</f>
        <v>3348.2898820800006</v>
      </c>
      <c r="X27" s="5">
        <f t="shared" ref="X27:X34" si="32">$F27/$D27</f>
        <v>152.19499464000003</v>
      </c>
      <c r="Y27" s="5">
        <f t="shared" ref="Y27:Y34" si="33">W27-X27</f>
        <v>3196.0948874400005</v>
      </c>
      <c r="Z27" s="19">
        <f t="shared" ref="Z27:Z34" si="34">((W27+Y27)/2)*0.035</f>
        <v>114.52673346660004</v>
      </c>
      <c r="AB27" s="5">
        <f t="shared" ref="AB27:AB34" si="35">Y27</f>
        <v>3196.0948874400005</v>
      </c>
      <c r="AC27" s="5">
        <f t="shared" ref="AC27:AC34" si="36">$F27/$D27</f>
        <v>152.19499464000003</v>
      </c>
      <c r="AD27" s="5">
        <f t="shared" ref="AD27:AD34" si="37">AB27-AC27</f>
        <v>3043.8998928000005</v>
      </c>
      <c r="AE27" s="19">
        <f t="shared" ref="AE27:AE34" si="38">((AB27+AD27)/2)*0.035</f>
        <v>109.19990865420003</v>
      </c>
    </row>
    <row r="28" spans="2:31" ht="12.75" customHeight="1">
      <c r="B28" s="31" t="str">
        <f>'7b. Capital Charges'!A6</f>
        <v>Development Costs (25 Years useful life)</v>
      </c>
      <c r="C28" s="1" t="s">
        <v>75</v>
      </c>
      <c r="D28" s="26">
        <v>25</v>
      </c>
      <c r="F28" s="4">
        <f>'7b. Capital Charges'!C6/1000</f>
        <v>577.20000000000005</v>
      </c>
      <c r="H28" s="5">
        <f t="shared" si="20"/>
        <v>577.20000000000005</v>
      </c>
      <c r="I28" s="5">
        <f t="shared" si="21"/>
        <v>23.088000000000001</v>
      </c>
      <c r="J28" s="5">
        <f t="shared" si="22"/>
        <v>554.11200000000008</v>
      </c>
      <c r="K28" s="19">
        <f t="shared" ref="K28:K34" si="39">((H28+J28)/2)*0.035</f>
        <v>19.797960000000003</v>
      </c>
      <c r="M28" s="5">
        <f t="shared" si="23"/>
        <v>554.11200000000008</v>
      </c>
      <c r="N28" s="5">
        <f t="shared" si="24"/>
        <v>23.088000000000001</v>
      </c>
      <c r="O28" s="5">
        <f t="shared" si="25"/>
        <v>531.02400000000011</v>
      </c>
      <c r="P28" s="19">
        <f t="shared" si="26"/>
        <v>18.989880000000007</v>
      </c>
      <c r="R28" s="5">
        <f t="shared" si="27"/>
        <v>531.02400000000011</v>
      </c>
      <c r="S28" s="5">
        <f t="shared" si="28"/>
        <v>23.088000000000001</v>
      </c>
      <c r="T28" s="5">
        <f t="shared" si="29"/>
        <v>507.93600000000009</v>
      </c>
      <c r="U28" s="19">
        <f t="shared" si="30"/>
        <v>18.181800000000006</v>
      </c>
      <c r="W28" s="5">
        <f t="shared" si="31"/>
        <v>507.93600000000009</v>
      </c>
      <c r="X28" s="5">
        <f t="shared" si="32"/>
        <v>23.088000000000001</v>
      </c>
      <c r="Y28" s="5">
        <f t="shared" si="33"/>
        <v>484.84800000000007</v>
      </c>
      <c r="Z28" s="19">
        <f t="shared" si="34"/>
        <v>17.373720000000002</v>
      </c>
      <c r="AB28" s="5">
        <f t="shared" si="35"/>
        <v>484.84800000000007</v>
      </c>
      <c r="AC28" s="5">
        <f t="shared" si="36"/>
        <v>23.088000000000001</v>
      </c>
      <c r="AD28" s="5">
        <f t="shared" si="37"/>
        <v>461.76000000000005</v>
      </c>
      <c r="AE28" s="19">
        <f t="shared" si="38"/>
        <v>16.565640000000005</v>
      </c>
    </row>
    <row r="29" spans="2:31" ht="12.75" customHeight="1">
      <c r="B29" s="31"/>
      <c r="C29" s="1" t="s">
        <v>75</v>
      </c>
      <c r="D29" s="26">
        <v>25</v>
      </c>
      <c r="F29" s="4"/>
      <c r="H29" s="5">
        <f t="shared" si="20"/>
        <v>0</v>
      </c>
      <c r="I29" s="5">
        <f t="shared" si="21"/>
        <v>0</v>
      </c>
      <c r="J29" s="5">
        <f t="shared" si="22"/>
        <v>0</v>
      </c>
      <c r="K29" s="19">
        <f t="shared" si="39"/>
        <v>0</v>
      </c>
      <c r="M29" s="5">
        <f t="shared" si="23"/>
        <v>0</v>
      </c>
      <c r="N29" s="5">
        <f t="shared" si="24"/>
        <v>0</v>
      </c>
      <c r="O29" s="5">
        <f t="shared" si="25"/>
        <v>0</v>
      </c>
      <c r="P29" s="19">
        <f t="shared" si="26"/>
        <v>0</v>
      </c>
      <c r="R29" s="5">
        <f t="shared" si="27"/>
        <v>0</v>
      </c>
      <c r="S29" s="5">
        <f t="shared" si="28"/>
        <v>0</v>
      </c>
      <c r="T29" s="5">
        <f t="shared" si="29"/>
        <v>0</v>
      </c>
      <c r="U29" s="19">
        <f t="shared" si="30"/>
        <v>0</v>
      </c>
      <c r="W29" s="5">
        <f t="shared" si="31"/>
        <v>0</v>
      </c>
      <c r="X29" s="5">
        <f t="shared" si="32"/>
        <v>0</v>
      </c>
      <c r="Y29" s="5">
        <f t="shared" si="33"/>
        <v>0</v>
      </c>
      <c r="Z29" s="19">
        <f t="shared" si="34"/>
        <v>0</v>
      </c>
      <c r="AB29" s="5">
        <f t="shared" si="35"/>
        <v>0</v>
      </c>
      <c r="AC29" s="5">
        <f t="shared" si="36"/>
        <v>0</v>
      </c>
      <c r="AD29" s="5">
        <f t="shared" si="37"/>
        <v>0</v>
      </c>
      <c r="AE29" s="19">
        <f t="shared" si="38"/>
        <v>0</v>
      </c>
    </row>
    <row r="30" spans="2:31" ht="12.75" customHeight="1">
      <c r="B30" s="31" t="str">
        <f>'7b. Capital Charges'!A4</f>
        <v>Equipment (Medium Term Assets) (7 Years useful Life)</v>
      </c>
      <c r="C30" s="1" t="s">
        <v>74</v>
      </c>
      <c r="D30" s="26">
        <v>7</v>
      </c>
      <c r="F30" s="4">
        <f>'7b. Capital Charges'!C4/1000</f>
        <v>612.54</v>
      </c>
      <c r="H30" s="5">
        <f t="shared" si="20"/>
        <v>612.54</v>
      </c>
      <c r="I30" s="5">
        <f t="shared" si="21"/>
        <v>87.505714285714276</v>
      </c>
      <c r="J30" s="5">
        <f t="shared" si="22"/>
        <v>525.03428571428572</v>
      </c>
      <c r="K30" s="19">
        <f t="shared" si="39"/>
        <v>19.907550000000001</v>
      </c>
      <c r="M30" s="5">
        <f t="shared" si="23"/>
        <v>525.03428571428572</v>
      </c>
      <c r="N30" s="5">
        <f t="shared" si="24"/>
        <v>87.505714285714276</v>
      </c>
      <c r="O30" s="5">
        <f t="shared" si="25"/>
        <v>437.52857142857147</v>
      </c>
      <c r="P30" s="19">
        <f t="shared" si="26"/>
        <v>16.844850000000001</v>
      </c>
      <c r="R30" s="5">
        <f t="shared" si="27"/>
        <v>437.52857142857147</v>
      </c>
      <c r="S30" s="5">
        <f t="shared" si="28"/>
        <v>87.505714285714276</v>
      </c>
      <c r="T30" s="5">
        <f t="shared" si="29"/>
        <v>350.02285714285722</v>
      </c>
      <c r="U30" s="19">
        <f t="shared" si="30"/>
        <v>13.782150000000003</v>
      </c>
      <c r="W30" s="5">
        <f t="shared" si="31"/>
        <v>350.02285714285722</v>
      </c>
      <c r="X30" s="5">
        <f t="shared" si="32"/>
        <v>87.505714285714276</v>
      </c>
      <c r="Y30" s="5">
        <f t="shared" si="33"/>
        <v>262.51714285714297</v>
      </c>
      <c r="Z30" s="19">
        <f t="shared" si="34"/>
        <v>10.719450000000004</v>
      </c>
      <c r="AB30" s="5">
        <f t="shared" si="35"/>
        <v>262.51714285714297</v>
      </c>
      <c r="AC30" s="5">
        <f t="shared" si="36"/>
        <v>87.505714285714276</v>
      </c>
      <c r="AD30" s="5">
        <f t="shared" si="37"/>
        <v>175.0114285714287</v>
      </c>
      <c r="AE30" s="19">
        <f t="shared" si="38"/>
        <v>7.6567500000000051</v>
      </c>
    </row>
    <row r="31" spans="2:31" ht="12.75" customHeight="1">
      <c r="B31" s="31"/>
      <c r="C31" s="1" t="s">
        <v>74</v>
      </c>
      <c r="D31" s="26">
        <v>7</v>
      </c>
      <c r="F31" s="4"/>
      <c r="H31" s="5">
        <f t="shared" si="20"/>
        <v>0</v>
      </c>
      <c r="I31" s="5">
        <f t="shared" si="21"/>
        <v>0</v>
      </c>
      <c r="J31" s="5">
        <f t="shared" si="22"/>
        <v>0</v>
      </c>
      <c r="K31" s="19">
        <f t="shared" si="39"/>
        <v>0</v>
      </c>
      <c r="M31" s="5">
        <f t="shared" si="23"/>
        <v>0</v>
      </c>
      <c r="N31" s="5">
        <f t="shared" si="24"/>
        <v>0</v>
      </c>
      <c r="O31" s="5">
        <f t="shared" si="25"/>
        <v>0</v>
      </c>
      <c r="P31" s="19">
        <f t="shared" si="26"/>
        <v>0</v>
      </c>
      <c r="R31" s="5">
        <f t="shared" si="27"/>
        <v>0</v>
      </c>
      <c r="S31" s="5">
        <f t="shared" si="28"/>
        <v>0</v>
      </c>
      <c r="T31" s="5">
        <f t="shared" si="29"/>
        <v>0</v>
      </c>
      <c r="U31" s="19">
        <f t="shared" si="30"/>
        <v>0</v>
      </c>
      <c r="W31" s="5">
        <f t="shared" si="31"/>
        <v>0</v>
      </c>
      <c r="X31" s="5">
        <f t="shared" si="32"/>
        <v>0</v>
      </c>
      <c r="Y31" s="5">
        <f t="shared" si="33"/>
        <v>0</v>
      </c>
      <c r="Z31" s="19">
        <f t="shared" si="34"/>
        <v>0</v>
      </c>
      <c r="AB31" s="5">
        <f t="shared" si="35"/>
        <v>0</v>
      </c>
      <c r="AC31" s="5">
        <f t="shared" si="36"/>
        <v>0</v>
      </c>
      <c r="AD31" s="5">
        <f t="shared" si="37"/>
        <v>0</v>
      </c>
      <c r="AE31" s="19">
        <f t="shared" si="38"/>
        <v>0</v>
      </c>
    </row>
    <row r="32" spans="2:31" ht="12.75" customHeight="1">
      <c r="C32" s="1" t="s">
        <v>74</v>
      </c>
      <c r="D32" s="26">
        <v>7</v>
      </c>
      <c r="F32" s="4"/>
      <c r="H32" s="5">
        <f t="shared" si="20"/>
        <v>0</v>
      </c>
      <c r="I32" s="5">
        <f t="shared" si="21"/>
        <v>0</v>
      </c>
      <c r="J32" s="5">
        <f t="shared" si="22"/>
        <v>0</v>
      </c>
      <c r="K32" s="19">
        <f t="shared" si="39"/>
        <v>0</v>
      </c>
      <c r="M32" s="5">
        <f t="shared" si="23"/>
        <v>0</v>
      </c>
      <c r="N32" s="5">
        <f t="shared" si="24"/>
        <v>0</v>
      </c>
      <c r="O32" s="5">
        <f t="shared" si="25"/>
        <v>0</v>
      </c>
      <c r="P32" s="19">
        <f t="shared" si="26"/>
        <v>0</v>
      </c>
      <c r="R32" s="5">
        <f t="shared" si="27"/>
        <v>0</v>
      </c>
      <c r="S32" s="5">
        <f t="shared" si="28"/>
        <v>0</v>
      </c>
      <c r="T32" s="5">
        <f t="shared" si="29"/>
        <v>0</v>
      </c>
      <c r="U32" s="19">
        <f t="shared" si="30"/>
        <v>0</v>
      </c>
      <c r="W32" s="5">
        <f t="shared" si="31"/>
        <v>0</v>
      </c>
      <c r="X32" s="5">
        <f t="shared" si="32"/>
        <v>0</v>
      </c>
      <c r="Y32" s="5">
        <f t="shared" si="33"/>
        <v>0</v>
      </c>
      <c r="Z32" s="19">
        <f t="shared" si="34"/>
        <v>0</v>
      </c>
      <c r="AB32" s="5">
        <f t="shared" si="35"/>
        <v>0</v>
      </c>
      <c r="AC32" s="5">
        <f t="shared" si="36"/>
        <v>0</v>
      </c>
      <c r="AD32" s="5">
        <f t="shared" si="37"/>
        <v>0</v>
      </c>
      <c r="AE32" s="19">
        <f t="shared" si="38"/>
        <v>0</v>
      </c>
    </row>
    <row r="33" spans="2:31" ht="12.75" customHeight="1">
      <c r="C33" s="1" t="s">
        <v>31</v>
      </c>
      <c r="D33" s="26">
        <v>5</v>
      </c>
      <c r="F33" s="4"/>
      <c r="H33" s="5">
        <f t="shared" si="20"/>
        <v>0</v>
      </c>
      <c r="I33" s="5">
        <f t="shared" si="21"/>
        <v>0</v>
      </c>
      <c r="J33" s="5">
        <f t="shared" si="22"/>
        <v>0</v>
      </c>
      <c r="K33" s="19">
        <f t="shared" si="39"/>
        <v>0</v>
      </c>
      <c r="M33" s="5">
        <f t="shared" si="23"/>
        <v>0</v>
      </c>
      <c r="N33" s="5">
        <f t="shared" si="24"/>
        <v>0</v>
      </c>
      <c r="O33" s="5">
        <f t="shared" si="25"/>
        <v>0</v>
      </c>
      <c r="P33" s="19">
        <f t="shared" si="26"/>
        <v>0</v>
      </c>
      <c r="R33" s="5">
        <f t="shared" si="27"/>
        <v>0</v>
      </c>
      <c r="S33" s="5">
        <f t="shared" si="28"/>
        <v>0</v>
      </c>
      <c r="T33" s="5">
        <f t="shared" si="29"/>
        <v>0</v>
      </c>
      <c r="U33" s="19">
        <f t="shared" si="30"/>
        <v>0</v>
      </c>
      <c r="W33" s="5">
        <f t="shared" si="31"/>
        <v>0</v>
      </c>
      <c r="X33" s="5">
        <f t="shared" si="32"/>
        <v>0</v>
      </c>
      <c r="Y33" s="5">
        <f t="shared" si="33"/>
        <v>0</v>
      </c>
      <c r="Z33" s="19">
        <f t="shared" si="34"/>
        <v>0</v>
      </c>
      <c r="AB33" s="5">
        <f t="shared" si="35"/>
        <v>0</v>
      </c>
      <c r="AC33" s="5">
        <f t="shared" si="36"/>
        <v>0</v>
      </c>
      <c r="AD33" s="5">
        <f t="shared" si="37"/>
        <v>0</v>
      </c>
      <c r="AE33" s="19">
        <f t="shared" si="38"/>
        <v>0</v>
      </c>
    </row>
    <row r="34" spans="2:31" ht="12.75" customHeight="1">
      <c r="C34" s="1" t="s">
        <v>31</v>
      </c>
      <c r="D34" s="26">
        <v>3</v>
      </c>
      <c r="F34" s="4"/>
      <c r="H34" s="5">
        <f t="shared" si="20"/>
        <v>0</v>
      </c>
      <c r="I34" s="5">
        <f t="shared" si="21"/>
        <v>0</v>
      </c>
      <c r="J34" s="5">
        <f t="shared" si="22"/>
        <v>0</v>
      </c>
      <c r="K34" s="19">
        <f t="shared" si="39"/>
        <v>0</v>
      </c>
      <c r="M34" s="5">
        <f t="shared" si="23"/>
        <v>0</v>
      </c>
      <c r="N34" s="5">
        <f t="shared" si="24"/>
        <v>0</v>
      </c>
      <c r="O34" s="5">
        <f t="shared" si="25"/>
        <v>0</v>
      </c>
      <c r="P34" s="19">
        <f t="shared" si="26"/>
        <v>0</v>
      </c>
      <c r="R34" s="5">
        <f t="shared" si="27"/>
        <v>0</v>
      </c>
      <c r="S34" s="5">
        <f t="shared" si="28"/>
        <v>0</v>
      </c>
      <c r="T34" s="5">
        <f t="shared" si="29"/>
        <v>0</v>
      </c>
      <c r="U34" s="19">
        <f t="shared" si="30"/>
        <v>0</v>
      </c>
      <c r="W34" s="5">
        <f t="shared" si="31"/>
        <v>0</v>
      </c>
      <c r="X34" s="5">
        <f t="shared" si="32"/>
        <v>0</v>
      </c>
      <c r="Y34" s="5">
        <f t="shared" si="33"/>
        <v>0</v>
      </c>
      <c r="Z34" s="19">
        <f t="shared" si="34"/>
        <v>0</v>
      </c>
      <c r="AB34" s="5">
        <f t="shared" si="35"/>
        <v>0</v>
      </c>
      <c r="AC34" s="5">
        <f t="shared" si="36"/>
        <v>0</v>
      </c>
      <c r="AD34" s="5">
        <f t="shared" si="37"/>
        <v>0</v>
      </c>
      <c r="AE34" s="19">
        <f t="shared" si="38"/>
        <v>0</v>
      </c>
    </row>
    <row r="35" spans="2:31" s="76" customFormat="1" ht="12.75" customHeight="1">
      <c r="B35" s="76" t="s">
        <v>32</v>
      </c>
      <c r="D35" s="77"/>
      <c r="E35" s="77"/>
      <c r="F35" s="78">
        <f>SUM(F27:F34)</f>
        <v>4994.6148660000008</v>
      </c>
      <c r="H35" s="78">
        <f>SUM(H27:H34)</f>
        <v>4994.6148660000008</v>
      </c>
      <c r="I35" s="79">
        <f>SUM(I27:I34)</f>
        <v>262.78870892571433</v>
      </c>
      <c r="J35" s="78">
        <f>SUM(J27:J34)</f>
        <v>4731.826157074287</v>
      </c>
      <c r="K35" s="80">
        <f>SUM(K27:K34)</f>
        <v>170.21271790380007</v>
      </c>
      <c r="M35" s="78">
        <f>SUM(M27:M34)</f>
        <v>4731.826157074287</v>
      </c>
      <c r="N35" s="79">
        <f>SUM(N27:N34)</f>
        <v>262.78870892571433</v>
      </c>
      <c r="O35" s="78">
        <f>SUM(O27:O34)</f>
        <v>4469.0374481485724</v>
      </c>
      <c r="P35" s="80">
        <f>SUM(P27:P34)</f>
        <v>161.01511309140005</v>
      </c>
      <c r="R35" s="78">
        <f>SUM(R27:R34)</f>
        <v>4469.0374481485724</v>
      </c>
      <c r="S35" s="79">
        <f>SUM(S27:S34)</f>
        <v>262.78870892571433</v>
      </c>
      <c r="T35" s="78">
        <f>SUM(T27:T34)</f>
        <v>4206.2487392228577</v>
      </c>
      <c r="U35" s="80">
        <f>SUM(U27:U34)</f>
        <v>151.81750827900004</v>
      </c>
      <c r="W35" s="78">
        <f>SUM(W27:W34)</f>
        <v>4206.2487392228577</v>
      </c>
      <c r="X35" s="79">
        <f>SUM(X27:X34)</f>
        <v>262.78870892571433</v>
      </c>
      <c r="Y35" s="78">
        <f>SUM(Y27:Y34)</f>
        <v>3943.4600302971435</v>
      </c>
      <c r="Z35" s="80">
        <f>SUM(Z27:Z34)</f>
        <v>142.61990346660002</v>
      </c>
      <c r="AB35" s="78">
        <f>SUM(AB27:AB34)</f>
        <v>3943.4600302971435</v>
      </c>
      <c r="AC35" s="79">
        <f>SUM(AC27:AC34)</f>
        <v>262.78870892571433</v>
      </c>
      <c r="AD35" s="78">
        <f>SUM(AD27:AD34)</f>
        <v>3680.6713213714293</v>
      </c>
      <c r="AE35" s="80">
        <f>SUM(AE27:AE34)</f>
        <v>133.42229865420003</v>
      </c>
    </row>
    <row r="37" spans="2:31" ht="15">
      <c r="F37" s="32"/>
      <c r="H37" s="32" t="s">
        <v>21</v>
      </c>
      <c r="I37" s="32" t="s">
        <v>21</v>
      </c>
      <c r="J37" s="32" t="s">
        <v>21</v>
      </c>
      <c r="K37" s="32" t="s">
        <v>21</v>
      </c>
      <c r="M37" s="32" t="s">
        <v>22</v>
      </c>
      <c r="N37" s="32" t="s">
        <v>22</v>
      </c>
      <c r="O37" s="32" t="s">
        <v>22</v>
      </c>
      <c r="P37" s="32" t="s">
        <v>22</v>
      </c>
      <c r="R37" s="32" t="s">
        <v>23</v>
      </c>
      <c r="S37" s="32" t="s">
        <v>23</v>
      </c>
      <c r="T37" s="32" t="s">
        <v>23</v>
      </c>
      <c r="U37" s="32" t="s">
        <v>23</v>
      </c>
      <c r="W37" s="32" t="s">
        <v>24</v>
      </c>
      <c r="X37" s="32" t="s">
        <v>24</v>
      </c>
      <c r="Y37" s="32" t="s">
        <v>24</v>
      </c>
      <c r="Z37" s="32" t="s">
        <v>24</v>
      </c>
      <c r="AB37" s="32" t="s">
        <v>25</v>
      </c>
      <c r="AC37" s="32" t="s">
        <v>25</v>
      </c>
      <c r="AD37" s="32" t="s">
        <v>25</v>
      </c>
      <c r="AE37" s="32" t="s">
        <v>25</v>
      </c>
    </row>
    <row r="38" spans="2:31">
      <c r="B38" s="74" t="str">
        <f>'2. Standing data'!C15</f>
        <v xml:space="preserve">LNWH DC &amp; IP + NWL IP </v>
      </c>
      <c r="F38" s="72"/>
      <c r="H38" s="72"/>
      <c r="I38" s="72"/>
      <c r="J38" s="72"/>
      <c r="K38" s="73"/>
      <c r="M38" s="72"/>
      <c r="N38" s="72"/>
      <c r="O38" s="72"/>
      <c r="P38" s="73"/>
      <c r="R38" s="72"/>
      <c r="S38" s="72"/>
      <c r="T38" s="72"/>
      <c r="U38" s="73"/>
      <c r="W38" s="72"/>
      <c r="X38" s="72"/>
      <c r="Y38" s="72"/>
      <c r="Z38" s="73"/>
      <c r="AB38" s="72"/>
      <c r="AC38" s="72"/>
      <c r="AD38" s="72"/>
      <c r="AE38" s="73"/>
    </row>
    <row r="39" spans="2:31" ht="15">
      <c r="D39" s="26" t="s">
        <v>45</v>
      </c>
      <c r="F39" s="34" t="s">
        <v>26</v>
      </c>
      <c r="H39" s="34" t="s">
        <v>26</v>
      </c>
      <c r="I39" s="34" t="s">
        <v>26</v>
      </c>
      <c r="J39" s="34" t="s">
        <v>26</v>
      </c>
      <c r="K39" s="41" t="s">
        <v>26</v>
      </c>
      <c r="M39" s="34" t="s">
        <v>26</v>
      </c>
      <c r="N39" s="34" t="s">
        <v>26</v>
      </c>
      <c r="O39" s="34" t="s">
        <v>26</v>
      </c>
      <c r="P39" s="41" t="s">
        <v>26</v>
      </c>
      <c r="R39" s="34" t="s">
        <v>26</v>
      </c>
      <c r="S39" s="34" t="s">
        <v>26</v>
      </c>
      <c r="T39" s="34" t="s">
        <v>26</v>
      </c>
      <c r="U39" s="41" t="s">
        <v>26</v>
      </c>
      <c r="W39" s="34" t="s">
        <v>26</v>
      </c>
      <c r="X39" s="34" t="s">
        <v>26</v>
      </c>
      <c r="Y39" s="34" t="s">
        <v>26</v>
      </c>
      <c r="Z39" s="41" t="s">
        <v>26</v>
      </c>
      <c r="AB39" s="34" t="s">
        <v>26</v>
      </c>
      <c r="AC39" s="34" t="s">
        <v>26</v>
      </c>
      <c r="AD39" s="34" t="s">
        <v>26</v>
      </c>
      <c r="AE39" s="41" t="s">
        <v>26</v>
      </c>
    </row>
    <row r="40" spans="2:31">
      <c r="B40" s="31"/>
      <c r="C40" s="31"/>
      <c r="F40" s="39"/>
      <c r="H40" s="40" t="s">
        <v>47</v>
      </c>
      <c r="I40" s="40" t="s">
        <v>48</v>
      </c>
      <c r="J40" s="40" t="s">
        <v>50</v>
      </c>
      <c r="K40" s="42" t="s">
        <v>51</v>
      </c>
      <c r="M40" s="40" t="s">
        <v>47</v>
      </c>
      <c r="N40" s="40" t="s">
        <v>48</v>
      </c>
      <c r="O40" s="40" t="s">
        <v>50</v>
      </c>
      <c r="P40" s="42" t="s">
        <v>51</v>
      </c>
      <c r="R40" s="40" t="s">
        <v>47</v>
      </c>
      <c r="S40" s="40" t="s">
        <v>48</v>
      </c>
      <c r="T40" s="40" t="s">
        <v>50</v>
      </c>
      <c r="U40" s="42" t="s">
        <v>51</v>
      </c>
      <c r="W40" s="40" t="s">
        <v>47</v>
      </c>
      <c r="X40" s="40" t="s">
        <v>48</v>
      </c>
      <c r="Y40" s="40" t="s">
        <v>50</v>
      </c>
      <c r="Z40" s="42" t="s">
        <v>51</v>
      </c>
      <c r="AB40" s="40" t="s">
        <v>47</v>
      </c>
      <c r="AC40" s="40" t="s">
        <v>48</v>
      </c>
      <c r="AD40" s="40" t="s">
        <v>50</v>
      </c>
      <c r="AE40" s="42" t="s">
        <v>51</v>
      </c>
    </row>
    <row r="41" spans="2:31" ht="12.75" customHeight="1">
      <c r="B41" s="31" t="str">
        <f>'7b. Capital Charges'!A5</f>
        <v>Refurbishment (Aligned to PAC Development) (25 Years useful life)</v>
      </c>
      <c r="C41" s="1" t="s">
        <v>75</v>
      </c>
      <c r="D41" s="26">
        <v>25</v>
      </c>
      <c r="F41" s="4">
        <f>'7b. Capital Charges'!D5/1000</f>
        <v>7609.7497320000011</v>
      </c>
      <c r="H41" s="5">
        <f t="shared" ref="H41:H48" si="40">F41</f>
        <v>7609.7497320000011</v>
      </c>
      <c r="I41" s="5">
        <f t="shared" ref="I41:I48" si="41">$F41/$D41</f>
        <v>304.38998928000007</v>
      </c>
      <c r="J41" s="5">
        <f t="shared" ref="J41:J48" si="42">F41-I41</f>
        <v>7305.3597427200011</v>
      </c>
      <c r="K41" s="19">
        <f t="shared" ref="K41:K48" si="43">((H41+J41)/2)*0.035</f>
        <v>261.01441580760007</v>
      </c>
      <c r="M41" s="5">
        <f t="shared" ref="M41:M48" si="44">J41</f>
        <v>7305.3597427200011</v>
      </c>
      <c r="N41" s="5">
        <f t="shared" ref="N41:N48" si="45">$F41/$D41</f>
        <v>304.38998928000007</v>
      </c>
      <c r="O41" s="5">
        <f t="shared" ref="O41:O48" si="46">M41-N41</f>
        <v>7000.9697534400011</v>
      </c>
      <c r="P41" s="19">
        <f t="shared" ref="P41:P48" si="47">((M41+O41)/2)*0.035</f>
        <v>250.36076618280006</v>
      </c>
      <c r="R41" s="5">
        <f t="shared" ref="R41:R48" si="48">O41</f>
        <v>7000.9697534400011</v>
      </c>
      <c r="S41" s="5">
        <f t="shared" ref="S41:S48" si="49">$F41/$D41</f>
        <v>304.38998928000007</v>
      </c>
      <c r="T41" s="5">
        <f t="shared" ref="T41:T48" si="50">R41-S41</f>
        <v>6696.5797641600011</v>
      </c>
      <c r="U41" s="19">
        <f t="shared" ref="U41:U48" si="51">((R41+T41)/2)*0.035</f>
        <v>239.70711655800005</v>
      </c>
      <c r="W41" s="5">
        <f t="shared" ref="W41:W48" si="52">T41</f>
        <v>6696.5797641600011</v>
      </c>
      <c r="X41" s="5">
        <f t="shared" ref="X41:X48" si="53">$F41/$D41</f>
        <v>304.38998928000007</v>
      </c>
      <c r="Y41" s="5">
        <f t="shared" ref="Y41:Y48" si="54">W41-X41</f>
        <v>6392.1897748800011</v>
      </c>
      <c r="Z41" s="19">
        <f t="shared" ref="Z41:Z48" si="55">((W41+Y41)/2)*0.035</f>
        <v>229.05346693320007</v>
      </c>
      <c r="AB41" s="5">
        <f t="shared" ref="AB41:AB48" si="56">Y41</f>
        <v>6392.1897748800011</v>
      </c>
      <c r="AC41" s="5">
        <f t="shared" ref="AC41:AC48" si="57">$F41/$D41</f>
        <v>304.38998928000007</v>
      </c>
      <c r="AD41" s="5">
        <f t="shared" ref="AD41:AD48" si="58">AB41-AC41</f>
        <v>6087.7997856000011</v>
      </c>
      <c r="AE41" s="19">
        <f t="shared" ref="AE41:AE48" si="59">((AB41+AD41)/2)*0.035</f>
        <v>218.39981730840006</v>
      </c>
    </row>
    <row r="42" spans="2:31" ht="12.75" customHeight="1">
      <c r="B42" s="31" t="str">
        <f>'7b. Capital Charges'!A6</f>
        <v>Development Costs (25 Years useful life)</v>
      </c>
      <c r="C42" s="1" t="s">
        <v>75</v>
      </c>
      <c r="D42" s="26">
        <v>25</v>
      </c>
      <c r="F42" s="4">
        <f>'7b. Capital Charges'!D6/1000</f>
        <v>577.20000000000005</v>
      </c>
      <c r="H42" s="5">
        <f t="shared" si="40"/>
        <v>577.20000000000005</v>
      </c>
      <c r="I42" s="5">
        <f t="shared" si="41"/>
        <v>23.088000000000001</v>
      </c>
      <c r="J42" s="5">
        <f t="shared" si="42"/>
        <v>554.11200000000008</v>
      </c>
      <c r="K42" s="19">
        <f t="shared" si="43"/>
        <v>19.797960000000003</v>
      </c>
      <c r="M42" s="5">
        <f t="shared" si="44"/>
        <v>554.11200000000008</v>
      </c>
      <c r="N42" s="5">
        <f t="shared" si="45"/>
        <v>23.088000000000001</v>
      </c>
      <c r="O42" s="5">
        <f t="shared" si="46"/>
        <v>531.02400000000011</v>
      </c>
      <c r="P42" s="19">
        <f t="shared" si="47"/>
        <v>18.989880000000007</v>
      </c>
      <c r="R42" s="5">
        <f t="shared" si="48"/>
        <v>531.02400000000011</v>
      </c>
      <c r="S42" s="5">
        <f t="shared" si="49"/>
        <v>23.088000000000001</v>
      </c>
      <c r="T42" s="5">
        <f t="shared" si="50"/>
        <v>507.93600000000009</v>
      </c>
      <c r="U42" s="19">
        <f t="shared" si="51"/>
        <v>18.181800000000006</v>
      </c>
      <c r="W42" s="5">
        <f t="shared" si="52"/>
        <v>507.93600000000009</v>
      </c>
      <c r="X42" s="5">
        <f t="shared" si="53"/>
        <v>23.088000000000001</v>
      </c>
      <c r="Y42" s="5">
        <f t="shared" si="54"/>
        <v>484.84800000000007</v>
      </c>
      <c r="Z42" s="19">
        <f t="shared" si="55"/>
        <v>17.373720000000002</v>
      </c>
      <c r="AB42" s="5">
        <f t="shared" si="56"/>
        <v>484.84800000000007</v>
      </c>
      <c r="AC42" s="5">
        <f t="shared" si="57"/>
        <v>23.088000000000001</v>
      </c>
      <c r="AD42" s="5">
        <f t="shared" si="58"/>
        <v>461.76000000000005</v>
      </c>
      <c r="AE42" s="19">
        <f t="shared" si="59"/>
        <v>16.565640000000005</v>
      </c>
    </row>
    <row r="43" spans="2:31" ht="12.75" customHeight="1">
      <c r="B43" s="31"/>
      <c r="C43" s="1" t="s">
        <v>75</v>
      </c>
      <c r="D43" s="26">
        <v>25</v>
      </c>
      <c r="F43" s="4"/>
      <c r="H43" s="5">
        <f t="shared" si="40"/>
        <v>0</v>
      </c>
      <c r="I43" s="5">
        <f t="shared" si="41"/>
        <v>0</v>
      </c>
      <c r="J43" s="5">
        <f t="shared" si="42"/>
        <v>0</v>
      </c>
      <c r="K43" s="19">
        <f t="shared" si="43"/>
        <v>0</v>
      </c>
      <c r="M43" s="5">
        <f t="shared" si="44"/>
        <v>0</v>
      </c>
      <c r="N43" s="5">
        <f t="shared" si="45"/>
        <v>0</v>
      </c>
      <c r="O43" s="5">
        <f t="shared" si="46"/>
        <v>0</v>
      </c>
      <c r="P43" s="19">
        <f t="shared" si="47"/>
        <v>0</v>
      </c>
      <c r="R43" s="5">
        <f t="shared" si="48"/>
        <v>0</v>
      </c>
      <c r="S43" s="5">
        <f t="shared" si="49"/>
        <v>0</v>
      </c>
      <c r="T43" s="5">
        <f t="shared" si="50"/>
        <v>0</v>
      </c>
      <c r="U43" s="19">
        <f t="shared" si="51"/>
        <v>0</v>
      </c>
      <c r="W43" s="5">
        <f t="shared" si="52"/>
        <v>0</v>
      </c>
      <c r="X43" s="5">
        <f t="shared" si="53"/>
        <v>0</v>
      </c>
      <c r="Y43" s="5">
        <f t="shared" si="54"/>
        <v>0</v>
      </c>
      <c r="Z43" s="19">
        <f t="shared" si="55"/>
        <v>0</v>
      </c>
      <c r="AB43" s="5">
        <f t="shared" si="56"/>
        <v>0</v>
      </c>
      <c r="AC43" s="5">
        <f t="shared" si="57"/>
        <v>0</v>
      </c>
      <c r="AD43" s="5">
        <f t="shared" si="58"/>
        <v>0</v>
      </c>
      <c r="AE43" s="19">
        <f t="shared" si="59"/>
        <v>0</v>
      </c>
    </row>
    <row r="44" spans="2:31" ht="12.75" customHeight="1">
      <c r="B44" s="31" t="str">
        <f>'7b. Capital Charges'!A4</f>
        <v>Equipment (Medium Term Assets) (7 Years useful Life)</v>
      </c>
      <c r="C44" s="1" t="s">
        <v>74</v>
      </c>
      <c r="D44" s="26">
        <v>7</v>
      </c>
      <c r="F44" s="4">
        <f>'7b. Capital Charges'!D4/1000</f>
        <v>1225.08</v>
      </c>
      <c r="H44" s="5">
        <f t="shared" si="40"/>
        <v>1225.08</v>
      </c>
      <c r="I44" s="5">
        <f t="shared" si="41"/>
        <v>175.01142857142855</v>
      </c>
      <c r="J44" s="5">
        <f t="shared" si="42"/>
        <v>1050.0685714285714</v>
      </c>
      <c r="K44" s="19">
        <f t="shared" si="43"/>
        <v>39.815100000000001</v>
      </c>
      <c r="M44" s="5">
        <f t="shared" si="44"/>
        <v>1050.0685714285714</v>
      </c>
      <c r="N44" s="5">
        <f t="shared" si="45"/>
        <v>175.01142857142855</v>
      </c>
      <c r="O44" s="5">
        <f t="shared" si="46"/>
        <v>875.05714285714294</v>
      </c>
      <c r="P44" s="19">
        <f t="shared" si="47"/>
        <v>33.689700000000002</v>
      </c>
      <c r="R44" s="5">
        <f t="shared" si="48"/>
        <v>875.05714285714294</v>
      </c>
      <c r="S44" s="5">
        <f t="shared" si="49"/>
        <v>175.01142857142855</v>
      </c>
      <c r="T44" s="5">
        <f t="shared" si="50"/>
        <v>700.04571428571444</v>
      </c>
      <c r="U44" s="19">
        <f t="shared" si="51"/>
        <v>27.564300000000006</v>
      </c>
      <c r="W44" s="5">
        <f t="shared" si="52"/>
        <v>700.04571428571444</v>
      </c>
      <c r="X44" s="5">
        <f t="shared" si="53"/>
        <v>175.01142857142855</v>
      </c>
      <c r="Y44" s="5">
        <f t="shared" si="54"/>
        <v>525.03428571428594</v>
      </c>
      <c r="Z44" s="19">
        <f t="shared" si="55"/>
        <v>21.438900000000007</v>
      </c>
      <c r="AB44" s="5">
        <f t="shared" si="56"/>
        <v>525.03428571428594</v>
      </c>
      <c r="AC44" s="5">
        <f t="shared" si="57"/>
        <v>175.01142857142855</v>
      </c>
      <c r="AD44" s="5">
        <f t="shared" si="58"/>
        <v>350.02285714285739</v>
      </c>
      <c r="AE44" s="19">
        <f t="shared" si="59"/>
        <v>15.31350000000001</v>
      </c>
    </row>
    <row r="45" spans="2:31" ht="12.75" customHeight="1">
      <c r="B45" s="31"/>
      <c r="C45" s="1" t="s">
        <v>74</v>
      </c>
      <c r="D45" s="26">
        <v>7</v>
      </c>
      <c r="F45" s="4"/>
      <c r="H45" s="5">
        <f t="shared" si="40"/>
        <v>0</v>
      </c>
      <c r="I45" s="5">
        <f t="shared" si="41"/>
        <v>0</v>
      </c>
      <c r="J45" s="5">
        <f t="shared" si="42"/>
        <v>0</v>
      </c>
      <c r="K45" s="19">
        <f t="shared" si="43"/>
        <v>0</v>
      </c>
      <c r="M45" s="5">
        <f t="shared" si="44"/>
        <v>0</v>
      </c>
      <c r="N45" s="5">
        <f t="shared" si="45"/>
        <v>0</v>
      </c>
      <c r="O45" s="5">
        <f t="shared" si="46"/>
        <v>0</v>
      </c>
      <c r="P45" s="19">
        <f t="shared" si="47"/>
        <v>0</v>
      </c>
      <c r="R45" s="5">
        <f t="shared" si="48"/>
        <v>0</v>
      </c>
      <c r="S45" s="5">
        <f t="shared" si="49"/>
        <v>0</v>
      </c>
      <c r="T45" s="5">
        <f t="shared" si="50"/>
        <v>0</v>
      </c>
      <c r="U45" s="19">
        <f t="shared" si="51"/>
        <v>0</v>
      </c>
      <c r="W45" s="5">
        <f t="shared" si="52"/>
        <v>0</v>
      </c>
      <c r="X45" s="5">
        <f t="shared" si="53"/>
        <v>0</v>
      </c>
      <c r="Y45" s="5">
        <f t="shared" si="54"/>
        <v>0</v>
      </c>
      <c r="Z45" s="19">
        <f t="shared" si="55"/>
        <v>0</v>
      </c>
      <c r="AB45" s="5">
        <f t="shared" si="56"/>
        <v>0</v>
      </c>
      <c r="AC45" s="5">
        <f t="shared" si="57"/>
        <v>0</v>
      </c>
      <c r="AD45" s="5">
        <f t="shared" si="58"/>
        <v>0</v>
      </c>
      <c r="AE45" s="19">
        <f t="shared" si="59"/>
        <v>0</v>
      </c>
    </row>
    <row r="46" spans="2:31" ht="12.75" customHeight="1">
      <c r="C46" s="1" t="s">
        <v>74</v>
      </c>
      <c r="D46" s="26">
        <v>7</v>
      </c>
      <c r="F46" s="4"/>
      <c r="H46" s="5">
        <f t="shared" si="40"/>
        <v>0</v>
      </c>
      <c r="I46" s="5">
        <f t="shared" si="41"/>
        <v>0</v>
      </c>
      <c r="J46" s="5">
        <f t="shared" si="42"/>
        <v>0</v>
      </c>
      <c r="K46" s="19">
        <f t="shared" si="43"/>
        <v>0</v>
      </c>
      <c r="M46" s="5">
        <f t="shared" si="44"/>
        <v>0</v>
      </c>
      <c r="N46" s="5">
        <f t="shared" si="45"/>
        <v>0</v>
      </c>
      <c r="O46" s="5">
        <f t="shared" si="46"/>
        <v>0</v>
      </c>
      <c r="P46" s="19">
        <f t="shared" si="47"/>
        <v>0</v>
      </c>
      <c r="R46" s="5">
        <f t="shared" si="48"/>
        <v>0</v>
      </c>
      <c r="S46" s="5">
        <f t="shared" si="49"/>
        <v>0</v>
      </c>
      <c r="T46" s="5">
        <f t="shared" si="50"/>
        <v>0</v>
      </c>
      <c r="U46" s="19">
        <f t="shared" si="51"/>
        <v>0</v>
      </c>
      <c r="W46" s="5">
        <f t="shared" si="52"/>
        <v>0</v>
      </c>
      <c r="X46" s="5">
        <f t="shared" si="53"/>
        <v>0</v>
      </c>
      <c r="Y46" s="5">
        <f t="shared" si="54"/>
        <v>0</v>
      </c>
      <c r="Z46" s="19">
        <f t="shared" si="55"/>
        <v>0</v>
      </c>
      <c r="AB46" s="5">
        <f t="shared" si="56"/>
        <v>0</v>
      </c>
      <c r="AC46" s="5">
        <f t="shared" si="57"/>
        <v>0</v>
      </c>
      <c r="AD46" s="5">
        <f t="shared" si="58"/>
        <v>0</v>
      </c>
      <c r="AE46" s="19">
        <f t="shared" si="59"/>
        <v>0</v>
      </c>
    </row>
    <row r="47" spans="2:31" ht="12.75" customHeight="1">
      <c r="C47" s="1" t="s">
        <v>31</v>
      </c>
      <c r="D47" s="26">
        <v>5</v>
      </c>
      <c r="F47" s="4"/>
      <c r="H47" s="5">
        <f t="shared" si="40"/>
        <v>0</v>
      </c>
      <c r="I47" s="5">
        <f t="shared" si="41"/>
        <v>0</v>
      </c>
      <c r="J47" s="5">
        <f t="shared" si="42"/>
        <v>0</v>
      </c>
      <c r="K47" s="19">
        <f t="shared" si="43"/>
        <v>0</v>
      </c>
      <c r="M47" s="5">
        <f t="shared" si="44"/>
        <v>0</v>
      </c>
      <c r="N47" s="5">
        <f t="shared" si="45"/>
        <v>0</v>
      </c>
      <c r="O47" s="5">
        <f t="shared" si="46"/>
        <v>0</v>
      </c>
      <c r="P47" s="19">
        <f t="shared" si="47"/>
        <v>0</v>
      </c>
      <c r="R47" s="5">
        <f t="shared" si="48"/>
        <v>0</v>
      </c>
      <c r="S47" s="5">
        <f t="shared" si="49"/>
        <v>0</v>
      </c>
      <c r="T47" s="5">
        <f t="shared" si="50"/>
        <v>0</v>
      </c>
      <c r="U47" s="19">
        <f t="shared" si="51"/>
        <v>0</v>
      </c>
      <c r="W47" s="5">
        <f t="shared" si="52"/>
        <v>0</v>
      </c>
      <c r="X47" s="5">
        <f t="shared" si="53"/>
        <v>0</v>
      </c>
      <c r="Y47" s="5">
        <f t="shared" si="54"/>
        <v>0</v>
      </c>
      <c r="Z47" s="19">
        <f t="shared" si="55"/>
        <v>0</v>
      </c>
      <c r="AB47" s="5">
        <f t="shared" si="56"/>
        <v>0</v>
      </c>
      <c r="AC47" s="5">
        <f t="shared" si="57"/>
        <v>0</v>
      </c>
      <c r="AD47" s="5">
        <f t="shared" si="58"/>
        <v>0</v>
      </c>
      <c r="AE47" s="19">
        <f t="shared" si="59"/>
        <v>0</v>
      </c>
    </row>
    <row r="48" spans="2:31" ht="12.75" customHeight="1">
      <c r="C48" s="1" t="s">
        <v>31</v>
      </c>
      <c r="D48" s="26">
        <v>3</v>
      </c>
      <c r="F48" s="4"/>
      <c r="H48" s="5">
        <f t="shared" si="40"/>
        <v>0</v>
      </c>
      <c r="I48" s="5">
        <f t="shared" si="41"/>
        <v>0</v>
      </c>
      <c r="J48" s="5">
        <f t="shared" si="42"/>
        <v>0</v>
      </c>
      <c r="K48" s="19">
        <f t="shared" si="43"/>
        <v>0</v>
      </c>
      <c r="M48" s="5">
        <f t="shared" si="44"/>
        <v>0</v>
      </c>
      <c r="N48" s="5">
        <f t="shared" si="45"/>
        <v>0</v>
      </c>
      <c r="O48" s="5">
        <f t="shared" si="46"/>
        <v>0</v>
      </c>
      <c r="P48" s="19">
        <f t="shared" si="47"/>
        <v>0</v>
      </c>
      <c r="R48" s="5">
        <f t="shared" si="48"/>
        <v>0</v>
      </c>
      <c r="S48" s="5">
        <f t="shared" si="49"/>
        <v>0</v>
      </c>
      <c r="T48" s="5">
        <f t="shared" si="50"/>
        <v>0</v>
      </c>
      <c r="U48" s="19">
        <f t="shared" si="51"/>
        <v>0</v>
      </c>
      <c r="W48" s="5">
        <f t="shared" si="52"/>
        <v>0</v>
      </c>
      <c r="X48" s="5">
        <f t="shared" si="53"/>
        <v>0</v>
      </c>
      <c r="Y48" s="5">
        <f t="shared" si="54"/>
        <v>0</v>
      </c>
      <c r="Z48" s="19">
        <f t="shared" si="55"/>
        <v>0</v>
      </c>
      <c r="AB48" s="5">
        <f t="shared" si="56"/>
        <v>0</v>
      </c>
      <c r="AC48" s="5">
        <f t="shared" si="57"/>
        <v>0</v>
      </c>
      <c r="AD48" s="5">
        <f t="shared" si="58"/>
        <v>0</v>
      </c>
      <c r="AE48" s="19">
        <f t="shared" si="59"/>
        <v>0</v>
      </c>
    </row>
    <row r="49" spans="2:31" s="76" customFormat="1" ht="12.75" customHeight="1">
      <c r="B49" s="76" t="s">
        <v>32</v>
      </c>
      <c r="D49" s="77"/>
      <c r="E49" s="77"/>
      <c r="F49" s="78">
        <f>SUM(F41:F48)</f>
        <v>9412.0297320000009</v>
      </c>
      <c r="H49" s="78">
        <f>SUM(H41:H48)</f>
        <v>9412.0297320000009</v>
      </c>
      <c r="I49" s="79">
        <f>SUM(I41:I48)</f>
        <v>502.48941785142864</v>
      </c>
      <c r="J49" s="78">
        <f>SUM(J41:J48)</f>
        <v>8909.5403141485731</v>
      </c>
      <c r="K49" s="80">
        <f>SUM(K41:K48)</f>
        <v>320.62747580760004</v>
      </c>
      <c r="M49" s="78">
        <f>SUM(M41:M48)</f>
        <v>8909.5403141485731</v>
      </c>
      <c r="N49" s="79">
        <f>SUM(N41:N48)</f>
        <v>502.48941785142864</v>
      </c>
      <c r="O49" s="78">
        <f>SUM(O41:O48)</f>
        <v>8407.0508962971435</v>
      </c>
      <c r="P49" s="80">
        <f>SUM(P41:P48)</f>
        <v>303.04034618280008</v>
      </c>
      <c r="R49" s="78">
        <f>SUM(R41:R48)</f>
        <v>8407.0508962971435</v>
      </c>
      <c r="S49" s="79">
        <f>SUM(S41:S48)</f>
        <v>502.48941785142864</v>
      </c>
      <c r="T49" s="78">
        <f>SUM(T41:T48)</f>
        <v>7904.5614784457157</v>
      </c>
      <c r="U49" s="80">
        <f>SUM(U41:U48)</f>
        <v>285.45321655800007</v>
      </c>
      <c r="W49" s="78">
        <f>SUM(W41:W48)</f>
        <v>7904.5614784457157</v>
      </c>
      <c r="X49" s="79">
        <f>SUM(X41:X48)</f>
        <v>502.48941785142864</v>
      </c>
      <c r="Y49" s="78">
        <f>SUM(Y41:Y48)</f>
        <v>7402.072060594287</v>
      </c>
      <c r="Z49" s="80">
        <f>SUM(Z41:Z48)</f>
        <v>267.86608693320005</v>
      </c>
      <c r="AB49" s="78">
        <f>SUM(AB41:AB48)</f>
        <v>7402.072060594287</v>
      </c>
      <c r="AC49" s="79">
        <f>SUM(AC41:AC48)</f>
        <v>502.48941785142864</v>
      </c>
      <c r="AD49" s="78">
        <f>SUM(AD41:AD48)</f>
        <v>6899.5826427428583</v>
      </c>
      <c r="AE49" s="80">
        <f>SUM(AE41:AE48)</f>
        <v>250.27895730840007</v>
      </c>
    </row>
    <row r="51" spans="2:31" ht="12.75" customHeight="1"/>
    <row r="52" spans="2:31" ht="12.75" customHeight="1">
      <c r="B52" s="1" t="s">
        <v>17</v>
      </c>
      <c r="F52" s="32" t="s">
        <v>27</v>
      </c>
      <c r="H52" s="32" t="s">
        <v>21</v>
      </c>
      <c r="I52" s="32" t="s">
        <v>21</v>
      </c>
      <c r="J52" s="32" t="s">
        <v>21</v>
      </c>
      <c r="K52" s="32" t="s">
        <v>21</v>
      </c>
      <c r="M52" s="32" t="s">
        <v>22</v>
      </c>
      <c r="N52" s="32" t="s">
        <v>22</v>
      </c>
      <c r="O52" s="32" t="s">
        <v>22</v>
      </c>
      <c r="P52" s="32" t="s">
        <v>22</v>
      </c>
      <c r="R52" s="32" t="s">
        <v>23</v>
      </c>
      <c r="S52" s="32" t="s">
        <v>23</v>
      </c>
      <c r="T52" s="32" t="s">
        <v>23</v>
      </c>
      <c r="U52" s="32" t="s">
        <v>23</v>
      </c>
      <c r="W52" s="32" t="s">
        <v>24</v>
      </c>
      <c r="X52" s="32" t="s">
        <v>24</v>
      </c>
      <c r="Y52" s="32" t="s">
        <v>24</v>
      </c>
      <c r="Z52" s="32" t="s">
        <v>24</v>
      </c>
      <c r="AB52" s="32" t="s">
        <v>25</v>
      </c>
      <c r="AC52" s="32" t="s">
        <v>25</v>
      </c>
      <c r="AD52" s="32" t="s">
        <v>25</v>
      </c>
      <c r="AE52" s="32" t="s">
        <v>25</v>
      </c>
    </row>
    <row r="53" spans="2:31" ht="12.75" customHeight="1">
      <c r="B53" s="74" t="str">
        <f>'2. Standing data'!C16</f>
        <v xml:space="preserve">LNWH DC &amp; IP + NWL DC &amp; IP </v>
      </c>
      <c r="F53" s="72"/>
      <c r="H53" s="72"/>
      <c r="I53" s="72"/>
      <c r="J53" s="72"/>
      <c r="K53" s="73"/>
      <c r="M53" s="72"/>
      <c r="N53" s="72"/>
      <c r="O53" s="72"/>
      <c r="P53" s="73"/>
      <c r="R53" s="72"/>
      <c r="S53" s="72"/>
      <c r="T53" s="72"/>
      <c r="U53" s="73"/>
      <c r="W53" s="72"/>
      <c r="X53" s="72"/>
      <c r="Y53" s="72"/>
      <c r="Z53" s="73"/>
      <c r="AB53" s="72"/>
      <c r="AC53" s="72"/>
      <c r="AD53" s="72"/>
      <c r="AE53" s="73"/>
    </row>
    <row r="54" spans="2:31" ht="12.75" customHeight="1">
      <c r="D54" s="26" t="s">
        <v>45</v>
      </c>
      <c r="F54" s="34" t="s">
        <v>26</v>
      </c>
      <c r="H54" s="34" t="s">
        <v>26</v>
      </c>
      <c r="I54" s="34" t="s">
        <v>26</v>
      </c>
      <c r="J54" s="34" t="s">
        <v>26</v>
      </c>
      <c r="K54" s="41" t="s">
        <v>26</v>
      </c>
      <c r="M54" s="34" t="s">
        <v>26</v>
      </c>
      <c r="N54" s="34" t="s">
        <v>26</v>
      </c>
      <c r="O54" s="34" t="s">
        <v>26</v>
      </c>
      <c r="P54" s="41" t="s">
        <v>26</v>
      </c>
      <c r="R54" s="34" t="s">
        <v>26</v>
      </c>
      <c r="S54" s="34" t="s">
        <v>26</v>
      </c>
      <c r="T54" s="34" t="s">
        <v>26</v>
      </c>
      <c r="U54" s="41" t="s">
        <v>26</v>
      </c>
      <c r="W54" s="34" t="s">
        <v>26</v>
      </c>
      <c r="X54" s="34" t="s">
        <v>26</v>
      </c>
      <c r="Y54" s="34" t="s">
        <v>26</v>
      </c>
      <c r="Z54" s="41" t="s">
        <v>26</v>
      </c>
      <c r="AB54" s="34" t="s">
        <v>26</v>
      </c>
      <c r="AC54" s="34" t="s">
        <v>26</v>
      </c>
      <c r="AD54" s="34" t="s">
        <v>26</v>
      </c>
      <c r="AE54" s="41" t="s">
        <v>26</v>
      </c>
    </row>
    <row r="55" spans="2:31" ht="12.75" customHeight="1">
      <c r="B55" s="31"/>
      <c r="C55" s="31"/>
      <c r="F55" s="39"/>
      <c r="H55" s="40" t="s">
        <v>47</v>
      </c>
      <c r="I55" s="40" t="s">
        <v>48</v>
      </c>
      <c r="J55" s="40" t="s">
        <v>50</v>
      </c>
      <c r="K55" s="42" t="s">
        <v>51</v>
      </c>
      <c r="M55" s="40" t="s">
        <v>47</v>
      </c>
      <c r="N55" s="40" t="s">
        <v>48</v>
      </c>
      <c r="O55" s="40" t="s">
        <v>50</v>
      </c>
      <c r="P55" s="42" t="s">
        <v>51</v>
      </c>
      <c r="R55" s="40" t="s">
        <v>47</v>
      </c>
      <c r="S55" s="40" t="s">
        <v>48</v>
      </c>
      <c r="T55" s="40" t="s">
        <v>50</v>
      </c>
      <c r="U55" s="42" t="s">
        <v>51</v>
      </c>
      <c r="W55" s="40" t="s">
        <v>47</v>
      </c>
      <c r="X55" s="40" t="s">
        <v>48</v>
      </c>
      <c r="Y55" s="40" t="s">
        <v>50</v>
      </c>
      <c r="Z55" s="42" t="s">
        <v>51</v>
      </c>
      <c r="AB55" s="40" t="s">
        <v>47</v>
      </c>
      <c r="AC55" s="40" t="s">
        <v>48</v>
      </c>
      <c r="AD55" s="40" t="s">
        <v>50</v>
      </c>
      <c r="AE55" s="42" t="s">
        <v>51</v>
      </c>
    </row>
    <row r="56" spans="2:31" ht="12.75" customHeight="1">
      <c r="B56" s="31" t="str">
        <f>'7b. Capital Charges'!A5</f>
        <v>Refurbishment (Aligned to PAC Development) (25 Years useful life)</v>
      </c>
      <c r="C56" s="1" t="s">
        <v>75</v>
      </c>
      <c r="D56" s="26">
        <v>25</v>
      </c>
      <c r="F56" s="4">
        <f>'7b. Capital Charges'!E5/1000</f>
        <v>15219.499464000002</v>
      </c>
      <c r="H56" s="5">
        <f t="shared" ref="H56:H63" si="60">F56</f>
        <v>15219.499464000002</v>
      </c>
      <c r="I56" s="5">
        <f t="shared" ref="I56:I63" si="61">$F56/$D56</f>
        <v>608.77997856000013</v>
      </c>
      <c r="J56" s="5">
        <f t="shared" ref="J56:J63" si="62">F56-I56</f>
        <v>14610.719485440002</v>
      </c>
      <c r="K56" s="19">
        <f t="shared" ref="K56:K63" si="63">((H56+J56)/2)*0.035</f>
        <v>522.02883161520015</v>
      </c>
      <c r="M56" s="5">
        <f t="shared" ref="M56:M63" si="64">J56</f>
        <v>14610.719485440002</v>
      </c>
      <c r="N56" s="5">
        <f t="shared" ref="N56:N63" si="65">$F56/$D56</f>
        <v>608.77997856000013</v>
      </c>
      <c r="O56" s="5">
        <f t="shared" ref="O56:O63" si="66">M56-N56</f>
        <v>14001.939506880002</v>
      </c>
      <c r="P56" s="19">
        <f t="shared" ref="P56:P63" si="67">((M56+O56)/2)*0.035</f>
        <v>500.72153236560013</v>
      </c>
      <c r="R56" s="5">
        <f t="shared" ref="R56:R63" si="68">O56</f>
        <v>14001.939506880002</v>
      </c>
      <c r="S56" s="5">
        <f t="shared" ref="S56:S63" si="69">$F56/$D56</f>
        <v>608.77997856000013</v>
      </c>
      <c r="T56" s="5">
        <f t="shared" ref="T56:T63" si="70">R56-S56</f>
        <v>13393.159528320002</v>
      </c>
      <c r="U56" s="19">
        <f t="shared" ref="U56:U63" si="71">((R56+T56)/2)*0.035</f>
        <v>479.4142331160001</v>
      </c>
      <c r="W56" s="5">
        <f t="shared" ref="W56:W63" si="72">T56</f>
        <v>13393.159528320002</v>
      </c>
      <c r="X56" s="5">
        <f t="shared" ref="X56:X63" si="73">$F56/$D56</f>
        <v>608.77997856000013</v>
      </c>
      <c r="Y56" s="5">
        <f t="shared" ref="Y56:Y63" si="74">W56-X56</f>
        <v>12784.379549760002</v>
      </c>
      <c r="Z56" s="19">
        <f t="shared" ref="Z56:Z63" si="75">((W56+Y56)/2)*0.035</f>
        <v>458.10693386640014</v>
      </c>
      <c r="AB56" s="5">
        <f t="shared" ref="AB56:AB63" si="76">Y56</f>
        <v>12784.379549760002</v>
      </c>
      <c r="AC56" s="5">
        <f t="shared" ref="AC56:AC63" si="77">$F56/$D56</f>
        <v>608.77997856000013</v>
      </c>
      <c r="AD56" s="5">
        <f t="shared" ref="AD56:AD63" si="78">AB56-AC56</f>
        <v>12175.599571200002</v>
      </c>
      <c r="AE56" s="19">
        <f t="shared" ref="AE56:AE63" si="79">((AB56+AD56)/2)*0.035</f>
        <v>436.79963461680012</v>
      </c>
    </row>
    <row r="57" spans="2:31" ht="12.75" customHeight="1">
      <c r="B57" s="31" t="str">
        <f>'7b. Capital Charges'!A6</f>
        <v>Development Costs (25 Years useful life)</v>
      </c>
      <c r="C57" s="1" t="s">
        <v>75</v>
      </c>
      <c r="D57" s="26">
        <v>25</v>
      </c>
      <c r="F57" s="4">
        <f>'7b. Capital Charges'!E6/1000</f>
        <v>577.20000000000005</v>
      </c>
      <c r="H57" s="5">
        <f t="shared" si="60"/>
        <v>577.20000000000005</v>
      </c>
      <c r="I57" s="5">
        <f t="shared" si="61"/>
        <v>23.088000000000001</v>
      </c>
      <c r="J57" s="5">
        <f t="shared" si="62"/>
        <v>554.11200000000008</v>
      </c>
      <c r="K57" s="19">
        <f t="shared" si="63"/>
        <v>19.797960000000003</v>
      </c>
      <c r="M57" s="5">
        <f t="shared" si="64"/>
        <v>554.11200000000008</v>
      </c>
      <c r="N57" s="5">
        <f t="shared" si="65"/>
        <v>23.088000000000001</v>
      </c>
      <c r="O57" s="5">
        <f t="shared" si="66"/>
        <v>531.02400000000011</v>
      </c>
      <c r="P57" s="19">
        <f t="shared" si="67"/>
        <v>18.989880000000007</v>
      </c>
      <c r="R57" s="5">
        <f t="shared" si="68"/>
        <v>531.02400000000011</v>
      </c>
      <c r="S57" s="5">
        <f t="shared" si="69"/>
        <v>23.088000000000001</v>
      </c>
      <c r="T57" s="5">
        <f t="shared" si="70"/>
        <v>507.93600000000009</v>
      </c>
      <c r="U57" s="19">
        <f t="shared" si="71"/>
        <v>18.181800000000006</v>
      </c>
      <c r="W57" s="5">
        <f t="shared" si="72"/>
        <v>507.93600000000009</v>
      </c>
      <c r="X57" s="5">
        <f t="shared" si="73"/>
        <v>23.088000000000001</v>
      </c>
      <c r="Y57" s="5">
        <f t="shared" si="74"/>
        <v>484.84800000000007</v>
      </c>
      <c r="Z57" s="19">
        <f t="shared" si="75"/>
        <v>17.373720000000002</v>
      </c>
      <c r="AB57" s="5">
        <f t="shared" si="76"/>
        <v>484.84800000000007</v>
      </c>
      <c r="AC57" s="5">
        <f t="shared" si="77"/>
        <v>23.088000000000001</v>
      </c>
      <c r="AD57" s="5">
        <f t="shared" si="78"/>
        <v>461.76000000000005</v>
      </c>
      <c r="AE57" s="19">
        <f t="shared" si="79"/>
        <v>16.565640000000005</v>
      </c>
    </row>
    <row r="58" spans="2:31" ht="12.75" customHeight="1">
      <c r="B58" s="31"/>
      <c r="C58" s="1" t="s">
        <v>75</v>
      </c>
      <c r="D58" s="26">
        <v>25</v>
      </c>
      <c r="F58" s="4"/>
      <c r="H58" s="5">
        <f t="shared" si="60"/>
        <v>0</v>
      </c>
      <c r="I58" s="5">
        <f t="shared" si="61"/>
        <v>0</v>
      </c>
      <c r="J58" s="5">
        <f t="shared" si="62"/>
        <v>0</v>
      </c>
      <c r="K58" s="19">
        <f t="shared" si="63"/>
        <v>0</v>
      </c>
      <c r="M58" s="5">
        <f t="shared" si="64"/>
        <v>0</v>
      </c>
      <c r="N58" s="5">
        <f t="shared" si="65"/>
        <v>0</v>
      </c>
      <c r="O58" s="5">
        <f t="shared" si="66"/>
        <v>0</v>
      </c>
      <c r="P58" s="19">
        <f t="shared" si="67"/>
        <v>0</v>
      </c>
      <c r="R58" s="5">
        <f t="shared" si="68"/>
        <v>0</v>
      </c>
      <c r="S58" s="5">
        <f t="shared" si="69"/>
        <v>0</v>
      </c>
      <c r="T58" s="5">
        <f t="shared" si="70"/>
        <v>0</v>
      </c>
      <c r="U58" s="19">
        <f t="shared" si="71"/>
        <v>0</v>
      </c>
      <c r="W58" s="5">
        <f t="shared" si="72"/>
        <v>0</v>
      </c>
      <c r="X58" s="5">
        <f t="shared" si="73"/>
        <v>0</v>
      </c>
      <c r="Y58" s="5">
        <f t="shared" si="74"/>
        <v>0</v>
      </c>
      <c r="Z58" s="19">
        <f t="shared" si="75"/>
        <v>0</v>
      </c>
      <c r="AB58" s="5">
        <f t="shared" si="76"/>
        <v>0</v>
      </c>
      <c r="AC58" s="5">
        <f t="shared" si="77"/>
        <v>0</v>
      </c>
      <c r="AD58" s="5">
        <f t="shared" si="78"/>
        <v>0</v>
      </c>
      <c r="AE58" s="19">
        <f t="shared" si="79"/>
        <v>0</v>
      </c>
    </row>
    <row r="59" spans="2:31" ht="12.75" customHeight="1">
      <c r="B59" s="31" t="str">
        <f>'7b. Capital Charges'!A4</f>
        <v>Equipment (Medium Term Assets) (7 Years useful Life)</v>
      </c>
      <c r="C59" s="1" t="s">
        <v>74</v>
      </c>
      <c r="D59" s="26">
        <v>7</v>
      </c>
      <c r="F59" s="4">
        <f>'7b. Capital Charges'!E4/1000</f>
        <v>2450.16</v>
      </c>
      <c r="H59" s="5">
        <f t="shared" si="60"/>
        <v>2450.16</v>
      </c>
      <c r="I59" s="5">
        <f t="shared" si="61"/>
        <v>350.02285714285711</v>
      </c>
      <c r="J59" s="5">
        <f t="shared" si="62"/>
        <v>2100.1371428571429</v>
      </c>
      <c r="K59" s="19">
        <f t="shared" si="63"/>
        <v>79.630200000000002</v>
      </c>
      <c r="M59" s="5">
        <f t="shared" si="64"/>
        <v>2100.1371428571429</v>
      </c>
      <c r="N59" s="5">
        <f t="shared" si="65"/>
        <v>350.02285714285711</v>
      </c>
      <c r="O59" s="5">
        <f t="shared" si="66"/>
        <v>1750.1142857142859</v>
      </c>
      <c r="P59" s="19">
        <f t="shared" si="67"/>
        <v>67.379400000000004</v>
      </c>
      <c r="R59" s="5">
        <f t="shared" si="68"/>
        <v>1750.1142857142859</v>
      </c>
      <c r="S59" s="5">
        <f t="shared" si="69"/>
        <v>350.02285714285711</v>
      </c>
      <c r="T59" s="5">
        <f t="shared" si="70"/>
        <v>1400.0914285714289</v>
      </c>
      <c r="U59" s="19">
        <f t="shared" si="71"/>
        <v>55.128600000000013</v>
      </c>
      <c r="W59" s="5">
        <f t="shared" si="72"/>
        <v>1400.0914285714289</v>
      </c>
      <c r="X59" s="5">
        <f t="shared" si="73"/>
        <v>350.02285714285711</v>
      </c>
      <c r="Y59" s="5">
        <f t="shared" si="74"/>
        <v>1050.0685714285719</v>
      </c>
      <c r="Z59" s="19">
        <f t="shared" si="75"/>
        <v>42.877800000000015</v>
      </c>
      <c r="AB59" s="5">
        <f t="shared" si="76"/>
        <v>1050.0685714285719</v>
      </c>
      <c r="AC59" s="5">
        <f t="shared" si="77"/>
        <v>350.02285714285711</v>
      </c>
      <c r="AD59" s="5">
        <f t="shared" si="78"/>
        <v>700.04571428571478</v>
      </c>
      <c r="AE59" s="19">
        <f t="shared" si="79"/>
        <v>30.62700000000002</v>
      </c>
    </row>
    <row r="60" spans="2:31" ht="12.75" customHeight="1">
      <c r="B60" s="31"/>
      <c r="C60" s="1" t="s">
        <v>74</v>
      </c>
      <c r="D60" s="26">
        <v>7</v>
      </c>
      <c r="F60" s="4"/>
      <c r="H60" s="5">
        <f t="shared" si="60"/>
        <v>0</v>
      </c>
      <c r="I60" s="5">
        <f t="shared" si="61"/>
        <v>0</v>
      </c>
      <c r="J60" s="5">
        <f t="shared" si="62"/>
        <v>0</v>
      </c>
      <c r="K60" s="19">
        <f t="shared" si="63"/>
        <v>0</v>
      </c>
      <c r="M60" s="5">
        <f t="shared" si="64"/>
        <v>0</v>
      </c>
      <c r="N60" s="5">
        <f t="shared" si="65"/>
        <v>0</v>
      </c>
      <c r="O60" s="5">
        <f t="shared" si="66"/>
        <v>0</v>
      </c>
      <c r="P60" s="19">
        <f t="shared" si="67"/>
        <v>0</v>
      </c>
      <c r="R60" s="5">
        <f t="shared" si="68"/>
        <v>0</v>
      </c>
      <c r="S60" s="5">
        <f t="shared" si="69"/>
        <v>0</v>
      </c>
      <c r="T60" s="5">
        <f t="shared" si="70"/>
        <v>0</v>
      </c>
      <c r="U60" s="19">
        <f t="shared" si="71"/>
        <v>0</v>
      </c>
      <c r="W60" s="5">
        <f t="shared" si="72"/>
        <v>0</v>
      </c>
      <c r="X60" s="5">
        <f t="shared" si="73"/>
        <v>0</v>
      </c>
      <c r="Y60" s="5">
        <f t="shared" si="74"/>
        <v>0</v>
      </c>
      <c r="Z60" s="19">
        <f t="shared" si="75"/>
        <v>0</v>
      </c>
      <c r="AB60" s="5">
        <f t="shared" si="76"/>
        <v>0</v>
      </c>
      <c r="AC60" s="5">
        <f t="shared" si="77"/>
        <v>0</v>
      </c>
      <c r="AD60" s="5">
        <f t="shared" si="78"/>
        <v>0</v>
      </c>
      <c r="AE60" s="19">
        <f t="shared" si="79"/>
        <v>0</v>
      </c>
    </row>
    <row r="61" spans="2:31" ht="12.75" customHeight="1">
      <c r="C61" s="1" t="s">
        <v>74</v>
      </c>
      <c r="D61" s="26">
        <v>7</v>
      </c>
      <c r="F61" s="4"/>
      <c r="H61" s="5">
        <f t="shared" si="60"/>
        <v>0</v>
      </c>
      <c r="I61" s="5">
        <f t="shared" si="61"/>
        <v>0</v>
      </c>
      <c r="J61" s="5">
        <f t="shared" si="62"/>
        <v>0</v>
      </c>
      <c r="K61" s="19">
        <f t="shared" si="63"/>
        <v>0</v>
      </c>
      <c r="M61" s="5">
        <f t="shared" si="64"/>
        <v>0</v>
      </c>
      <c r="N61" s="5">
        <f t="shared" si="65"/>
        <v>0</v>
      </c>
      <c r="O61" s="5">
        <f t="shared" si="66"/>
        <v>0</v>
      </c>
      <c r="P61" s="19">
        <f t="shared" si="67"/>
        <v>0</v>
      </c>
      <c r="R61" s="5">
        <f t="shared" si="68"/>
        <v>0</v>
      </c>
      <c r="S61" s="5">
        <f t="shared" si="69"/>
        <v>0</v>
      </c>
      <c r="T61" s="5">
        <f t="shared" si="70"/>
        <v>0</v>
      </c>
      <c r="U61" s="19">
        <f t="shared" si="71"/>
        <v>0</v>
      </c>
      <c r="W61" s="5">
        <f t="shared" si="72"/>
        <v>0</v>
      </c>
      <c r="X61" s="5">
        <f t="shared" si="73"/>
        <v>0</v>
      </c>
      <c r="Y61" s="5">
        <f t="shared" si="74"/>
        <v>0</v>
      </c>
      <c r="Z61" s="19">
        <f t="shared" si="75"/>
        <v>0</v>
      </c>
      <c r="AB61" s="5">
        <f t="shared" si="76"/>
        <v>0</v>
      </c>
      <c r="AC61" s="5">
        <f t="shared" si="77"/>
        <v>0</v>
      </c>
      <c r="AD61" s="5">
        <f t="shared" si="78"/>
        <v>0</v>
      </c>
      <c r="AE61" s="19">
        <f t="shared" si="79"/>
        <v>0</v>
      </c>
    </row>
    <row r="62" spans="2:31" ht="12.75" customHeight="1">
      <c r="C62" s="1" t="s">
        <v>31</v>
      </c>
      <c r="D62" s="26">
        <v>5</v>
      </c>
      <c r="F62" s="4"/>
      <c r="H62" s="5">
        <f t="shared" si="60"/>
        <v>0</v>
      </c>
      <c r="I62" s="5">
        <f t="shared" si="61"/>
        <v>0</v>
      </c>
      <c r="J62" s="5">
        <f t="shared" si="62"/>
        <v>0</v>
      </c>
      <c r="K62" s="19">
        <f t="shared" si="63"/>
        <v>0</v>
      </c>
      <c r="M62" s="5">
        <f t="shared" si="64"/>
        <v>0</v>
      </c>
      <c r="N62" s="5">
        <f t="shared" si="65"/>
        <v>0</v>
      </c>
      <c r="O62" s="5">
        <f t="shared" si="66"/>
        <v>0</v>
      </c>
      <c r="P62" s="19">
        <f t="shared" si="67"/>
        <v>0</v>
      </c>
      <c r="R62" s="5">
        <f t="shared" si="68"/>
        <v>0</v>
      </c>
      <c r="S62" s="5">
        <f t="shared" si="69"/>
        <v>0</v>
      </c>
      <c r="T62" s="5">
        <f t="shared" si="70"/>
        <v>0</v>
      </c>
      <c r="U62" s="19">
        <f t="shared" si="71"/>
        <v>0</v>
      </c>
      <c r="W62" s="5">
        <f t="shared" si="72"/>
        <v>0</v>
      </c>
      <c r="X62" s="5">
        <f t="shared" si="73"/>
        <v>0</v>
      </c>
      <c r="Y62" s="5">
        <f t="shared" si="74"/>
        <v>0</v>
      </c>
      <c r="Z62" s="19">
        <f t="shared" si="75"/>
        <v>0</v>
      </c>
      <c r="AB62" s="5">
        <f t="shared" si="76"/>
        <v>0</v>
      </c>
      <c r="AC62" s="5">
        <f t="shared" si="77"/>
        <v>0</v>
      </c>
      <c r="AD62" s="5">
        <f t="shared" si="78"/>
        <v>0</v>
      </c>
      <c r="AE62" s="19">
        <f t="shared" si="79"/>
        <v>0</v>
      </c>
    </row>
    <row r="63" spans="2:31" ht="12.75" customHeight="1">
      <c r="C63" s="1" t="s">
        <v>31</v>
      </c>
      <c r="D63" s="26">
        <v>3</v>
      </c>
      <c r="F63" s="4"/>
      <c r="H63" s="5">
        <f t="shared" si="60"/>
        <v>0</v>
      </c>
      <c r="I63" s="5">
        <f t="shared" si="61"/>
        <v>0</v>
      </c>
      <c r="J63" s="5">
        <f t="shared" si="62"/>
        <v>0</v>
      </c>
      <c r="K63" s="19">
        <f t="shared" si="63"/>
        <v>0</v>
      </c>
      <c r="M63" s="5">
        <f t="shared" si="64"/>
        <v>0</v>
      </c>
      <c r="N63" s="5">
        <f t="shared" si="65"/>
        <v>0</v>
      </c>
      <c r="O63" s="5">
        <f t="shared" si="66"/>
        <v>0</v>
      </c>
      <c r="P63" s="19">
        <f t="shared" si="67"/>
        <v>0</v>
      </c>
      <c r="R63" s="5">
        <f t="shared" si="68"/>
        <v>0</v>
      </c>
      <c r="S63" s="5">
        <f t="shared" si="69"/>
        <v>0</v>
      </c>
      <c r="T63" s="5">
        <f t="shared" si="70"/>
        <v>0</v>
      </c>
      <c r="U63" s="19">
        <f t="shared" si="71"/>
        <v>0</v>
      </c>
      <c r="W63" s="5">
        <f t="shared" si="72"/>
        <v>0</v>
      </c>
      <c r="X63" s="5">
        <f t="shared" si="73"/>
        <v>0</v>
      </c>
      <c r="Y63" s="5">
        <f t="shared" si="74"/>
        <v>0</v>
      </c>
      <c r="Z63" s="19">
        <f t="shared" si="75"/>
        <v>0</v>
      </c>
      <c r="AB63" s="5">
        <f t="shared" si="76"/>
        <v>0</v>
      </c>
      <c r="AC63" s="5">
        <f t="shared" si="77"/>
        <v>0</v>
      </c>
      <c r="AD63" s="5">
        <f t="shared" si="78"/>
        <v>0</v>
      </c>
      <c r="AE63" s="19">
        <f t="shared" si="79"/>
        <v>0</v>
      </c>
    </row>
    <row r="64" spans="2:31" s="76" customFormat="1" ht="12.75" customHeight="1">
      <c r="B64" s="76" t="s">
        <v>32</v>
      </c>
      <c r="D64" s="77"/>
      <c r="E64" s="77"/>
      <c r="F64" s="78">
        <f>SUM(F56:F63)</f>
        <v>18246.859464000001</v>
      </c>
      <c r="H64" s="78">
        <f>SUM(H56:H63)</f>
        <v>18246.859464000001</v>
      </c>
      <c r="I64" s="79">
        <f>SUM(I56:I63)</f>
        <v>981.8908357028572</v>
      </c>
      <c r="J64" s="78">
        <f>SUM(J56:J63)</f>
        <v>17264.968628297145</v>
      </c>
      <c r="K64" s="80">
        <f>SUM(K56:K63)</f>
        <v>621.4569916152002</v>
      </c>
      <c r="M64" s="78">
        <f>SUM(M56:M63)</f>
        <v>17264.968628297145</v>
      </c>
      <c r="N64" s="79">
        <f>SUM(N56:N63)</f>
        <v>981.8908357028572</v>
      </c>
      <c r="O64" s="78">
        <f>SUM(O56:O63)</f>
        <v>16283.077792594288</v>
      </c>
      <c r="P64" s="80">
        <f>SUM(P56:P63)</f>
        <v>587.09081236560019</v>
      </c>
      <c r="R64" s="78">
        <f>SUM(R56:R63)</f>
        <v>16283.077792594288</v>
      </c>
      <c r="S64" s="79">
        <f>SUM(S56:S63)</f>
        <v>981.8908357028572</v>
      </c>
      <c r="T64" s="78">
        <f>SUM(T56:T63)</f>
        <v>15301.18695689143</v>
      </c>
      <c r="U64" s="80">
        <f>SUM(U56:U63)</f>
        <v>552.72463311600018</v>
      </c>
      <c r="W64" s="78">
        <f>SUM(W56:W63)</f>
        <v>15301.18695689143</v>
      </c>
      <c r="X64" s="79">
        <f>SUM(X56:X63)</f>
        <v>981.8908357028572</v>
      </c>
      <c r="Y64" s="78">
        <f>SUM(Y56:Y63)</f>
        <v>14319.296121188574</v>
      </c>
      <c r="Z64" s="80">
        <f>SUM(Z56:Z63)</f>
        <v>518.35845386640017</v>
      </c>
      <c r="AB64" s="78">
        <f>SUM(AB56:AB63)</f>
        <v>14319.296121188574</v>
      </c>
      <c r="AC64" s="79">
        <f>SUM(AC56:AC63)</f>
        <v>981.8908357028572</v>
      </c>
      <c r="AD64" s="78">
        <f>SUM(AD56:AD63)</f>
        <v>13337.405285485716</v>
      </c>
      <c r="AE64" s="80">
        <f>SUM(AE56:AE63)</f>
        <v>483.99227461680016</v>
      </c>
    </row>
    <row r="65" spans="2:31" ht="12.75" customHeight="1"/>
    <row r="66" spans="2:31" ht="12.75" customHeight="1">
      <c r="B66" s="1" t="s">
        <v>18</v>
      </c>
      <c r="F66" s="32" t="s">
        <v>28</v>
      </c>
      <c r="H66" s="32" t="s">
        <v>21</v>
      </c>
      <c r="I66" s="32" t="s">
        <v>21</v>
      </c>
      <c r="J66" s="32" t="s">
        <v>21</v>
      </c>
      <c r="K66" s="32" t="s">
        <v>21</v>
      </c>
      <c r="M66" s="32" t="s">
        <v>22</v>
      </c>
      <c r="N66" s="32" t="s">
        <v>22</v>
      </c>
      <c r="O66" s="32" t="s">
        <v>22</v>
      </c>
      <c r="P66" s="32" t="s">
        <v>22</v>
      </c>
      <c r="R66" s="32" t="s">
        <v>23</v>
      </c>
      <c r="S66" s="32" t="s">
        <v>23</v>
      </c>
      <c r="T66" s="32" t="s">
        <v>23</v>
      </c>
      <c r="U66" s="32" t="s">
        <v>23</v>
      </c>
      <c r="W66" s="32" t="s">
        <v>24</v>
      </c>
      <c r="X66" s="32" t="s">
        <v>24</v>
      </c>
      <c r="Y66" s="32" t="s">
        <v>24</v>
      </c>
      <c r="Z66" s="32" t="s">
        <v>24</v>
      </c>
      <c r="AB66" s="32" t="s">
        <v>25</v>
      </c>
      <c r="AC66" s="32" t="s">
        <v>25</v>
      </c>
      <c r="AD66" s="32" t="s">
        <v>25</v>
      </c>
      <c r="AE66" s="32" t="s">
        <v>25</v>
      </c>
    </row>
    <row r="67" spans="2:31" ht="12.75" customHeight="1">
      <c r="B67" s="74" t="str">
        <f>'2. Standing data'!C17</f>
        <v xml:space="preserve">LNWH DC &amp; IP + NWL IP &amp; DC + NHS IP &amp; DC Cases Treated Privately </v>
      </c>
      <c r="F67" s="72"/>
      <c r="H67" s="72"/>
      <c r="I67" s="72"/>
      <c r="J67" s="72"/>
      <c r="K67" s="73"/>
      <c r="M67" s="72"/>
      <c r="N67" s="72"/>
      <c r="O67" s="72"/>
      <c r="P67" s="73"/>
      <c r="R67" s="72"/>
      <c r="S67" s="72"/>
      <c r="T67" s="72"/>
      <c r="U67" s="73"/>
      <c r="W67" s="72"/>
      <c r="X67" s="72"/>
      <c r="Y67" s="72"/>
      <c r="Z67" s="73"/>
      <c r="AB67" s="72"/>
      <c r="AC67" s="72"/>
      <c r="AD67" s="72"/>
      <c r="AE67" s="73"/>
    </row>
    <row r="68" spans="2:31" ht="12.75" customHeight="1">
      <c r="D68" s="26" t="s">
        <v>45</v>
      </c>
      <c r="F68" s="34" t="s">
        <v>26</v>
      </c>
      <c r="H68" s="34" t="s">
        <v>26</v>
      </c>
      <c r="I68" s="34" t="s">
        <v>26</v>
      </c>
      <c r="J68" s="34" t="s">
        <v>26</v>
      </c>
      <c r="K68" s="41" t="s">
        <v>26</v>
      </c>
      <c r="M68" s="34" t="s">
        <v>26</v>
      </c>
      <c r="N68" s="34" t="s">
        <v>26</v>
      </c>
      <c r="O68" s="34" t="s">
        <v>26</v>
      </c>
      <c r="P68" s="41" t="s">
        <v>26</v>
      </c>
      <c r="R68" s="34" t="s">
        <v>26</v>
      </c>
      <c r="S68" s="34" t="s">
        <v>26</v>
      </c>
      <c r="T68" s="34" t="s">
        <v>26</v>
      </c>
      <c r="U68" s="41" t="s">
        <v>26</v>
      </c>
      <c r="W68" s="34" t="s">
        <v>26</v>
      </c>
      <c r="X68" s="34" t="s">
        <v>26</v>
      </c>
      <c r="Y68" s="34" t="s">
        <v>26</v>
      </c>
      <c r="Z68" s="41" t="s">
        <v>26</v>
      </c>
      <c r="AB68" s="34" t="s">
        <v>26</v>
      </c>
      <c r="AC68" s="34" t="s">
        <v>26</v>
      </c>
      <c r="AD68" s="34" t="s">
        <v>26</v>
      </c>
      <c r="AE68" s="41" t="s">
        <v>26</v>
      </c>
    </row>
    <row r="69" spans="2:31" ht="12.75" customHeight="1">
      <c r="B69" s="31"/>
      <c r="C69" s="31"/>
      <c r="F69" s="39"/>
      <c r="H69" s="40" t="s">
        <v>47</v>
      </c>
      <c r="I69" s="40" t="s">
        <v>48</v>
      </c>
      <c r="J69" s="40" t="s">
        <v>50</v>
      </c>
      <c r="K69" s="42" t="s">
        <v>51</v>
      </c>
      <c r="M69" s="40" t="s">
        <v>47</v>
      </c>
      <c r="N69" s="40" t="s">
        <v>48</v>
      </c>
      <c r="O69" s="40" t="s">
        <v>50</v>
      </c>
      <c r="P69" s="42" t="s">
        <v>51</v>
      </c>
      <c r="R69" s="40" t="s">
        <v>47</v>
      </c>
      <c r="S69" s="40" t="s">
        <v>48</v>
      </c>
      <c r="T69" s="40" t="s">
        <v>50</v>
      </c>
      <c r="U69" s="42" t="s">
        <v>51</v>
      </c>
      <c r="W69" s="40" t="s">
        <v>47</v>
      </c>
      <c r="X69" s="40" t="s">
        <v>48</v>
      </c>
      <c r="Y69" s="40" t="s">
        <v>50</v>
      </c>
      <c r="Z69" s="42" t="s">
        <v>51</v>
      </c>
      <c r="AB69" s="40" t="s">
        <v>47</v>
      </c>
      <c r="AC69" s="40" t="s">
        <v>48</v>
      </c>
      <c r="AD69" s="40" t="s">
        <v>50</v>
      </c>
      <c r="AE69" s="42" t="s">
        <v>51</v>
      </c>
    </row>
    <row r="70" spans="2:31" ht="12.75" customHeight="1">
      <c r="B70" s="31" t="str">
        <f>'7b. Capital Charges'!A5</f>
        <v>Refurbishment (Aligned to PAC Development) (25 Years useful life)</v>
      </c>
      <c r="C70" s="1" t="s">
        <v>75</v>
      </c>
      <c r="D70" s="26">
        <v>25</v>
      </c>
      <c r="F70" s="4">
        <f>'7b. Capital Charges'!F5/1000</f>
        <v>19024.374330000002</v>
      </c>
      <c r="H70" s="5">
        <f t="shared" ref="H70:H77" si="80">F70</f>
        <v>19024.374330000002</v>
      </c>
      <c r="I70" s="5">
        <f t="shared" ref="I70:I77" si="81">$F70/$D70</f>
        <v>760.97497320000014</v>
      </c>
      <c r="J70" s="5">
        <f t="shared" ref="J70" si="82">F70-I70</f>
        <v>18263.399356800001</v>
      </c>
      <c r="K70" s="19">
        <f t="shared" ref="K70" si="83">((H70+J70)/2)*0.035</f>
        <v>652.53603951900016</v>
      </c>
      <c r="M70" s="5">
        <f t="shared" ref="M70" si="84">J70</f>
        <v>18263.399356800001</v>
      </c>
      <c r="N70" s="5">
        <f t="shared" ref="N70:N77" si="85">$F70/$D70</f>
        <v>760.97497320000014</v>
      </c>
      <c r="O70" s="5">
        <f t="shared" ref="O70" si="86">M70-N70</f>
        <v>17502.424383599999</v>
      </c>
      <c r="P70" s="19">
        <f t="shared" ref="P70" si="87">((M70+O70)/2)*0.035</f>
        <v>625.90191545699997</v>
      </c>
      <c r="R70" s="5">
        <f t="shared" ref="R70" si="88">O70</f>
        <v>17502.424383599999</v>
      </c>
      <c r="S70" s="5">
        <f t="shared" ref="S70:S77" si="89">$F70/$D70</f>
        <v>760.97497320000014</v>
      </c>
      <c r="T70" s="5">
        <f t="shared" ref="T70" si="90">R70-S70</f>
        <v>16741.449410399997</v>
      </c>
      <c r="U70" s="19">
        <f t="shared" ref="U70" si="91">((R70+T70)/2)*0.035</f>
        <v>599.26779139500002</v>
      </c>
      <c r="W70" s="5">
        <f t="shared" ref="W70" si="92">T70</f>
        <v>16741.449410399997</v>
      </c>
      <c r="X70" s="5">
        <f t="shared" ref="X70:X77" si="93">$F70/$D70</f>
        <v>760.97497320000014</v>
      </c>
      <c r="Y70" s="5">
        <f t="shared" ref="Y70" si="94">W70-X70</f>
        <v>15980.474437199997</v>
      </c>
      <c r="Z70" s="19">
        <f t="shared" ref="Z70" si="95">((W70+Y70)/2)*0.035</f>
        <v>572.63366733299995</v>
      </c>
      <c r="AB70" s="5">
        <f t="shared" ref="AB70" si="96">Y70</f>
        <v>15980.474437199997</v>
      </c>
      <c r="AC70" s="5">
        <f t="shared" ref="AC70:AC77" si="97">$F70/$D70</f>
        <v>760.97497320000014</v>
      </c>
      <c r="AD70" s="5">
        <f t="shared" ref="AD70" si="98">AB70-AC70</f>
        <v>15219.499463999997</v>
      </c>
      <c r="AE70" s="19">
        <f t="shared" ref="AE70" si="99">((AB70+AD70)/2)*0.035</f>
        <v>545.99954327099988</v>
      </c>
    </row>
    <row r="71" spans="2:31" ht="12.75" customHeight="1">
      <c r="B71" s="31" t="str">
        <f>'7b. Capital Charges'!A6</f>
        <v>Development Costs (25 Years useful life)</v>
      </c>
      <c r="C71" s="1" t="s">
        <v>75</v>
      </c>
      <c r="D71" s="26">
        <v>25</v>
      </c>
      <c r="F71" s="4">
        <f>'7b. Capital Charges'!F6/1000</f>
        <v>577.20000000000005</v>
      </c>
      <c r="H71" s="5">
        <f t="shared" si="80"/>
        <v>577.20000000000005</v>
      </c>
      <c r="I71" s="5">
        <f t="shared" si="81"/>
        <v>23.088000000000001</v>
      </c>
      <c r="J71" s="5">
        <f t="shared" ref="J71:J77" si="100">F71-I71</f>
        <v>554.11200000000008</v>
      </c>
      <c r="K71" s="19">
        <f t="shared" ref="K71:K77" si="101">((H71+J71)/2)*0.035</f>
        <v>19.797960000000003</v>
      </c>
      <c r="M71" s="5">
        <f t="shared" ref="M71:M77" si="102">J71</f>
        <v>554.11200000000008</v>
      </c>
      <c r="N71" s="5">
        <f t="shared" si="85"/>
        <v>23.088000000000001</v>
      </c>
      <c r="O71" s="5">
        <f t="shared" ref="O71:O77" si="103">M71-N71</f>
        <v>531.02400000000011</v>
      </c>
      <c r="P71" s="19">
        <f t="shared" ref="P71:P77" si="104">((M71+O71)/2)*0.035</f>
        <v>18.989880000000007</v>
      </c>
      <c r="R71" s="5">
        <f t="shared" ref="R71:R77" si="105">O71</f>
        <v>531.02400000000011</v>
      </c>
      <c r="S71" s="5">
        <f t="shared" si="89"/>
        <v>23.088000000000001</v>
      </c>
      <c r="T71" s="5">
        <f t="shared" ref="T71:T77" si="106">R71-S71</f>
        <v>507.93600000000009</v>
      </c>
      <c r="U71" s="19">
        <f t="shared" ref="U71:U77" si="107">((R71+T71)/2)*0.035</f>
        <v>18.181800000000006</v>
      </c>
      <c r="W71" s="5">
        <f t="shared" ref="W71:W77" si="108">T71</f>
        <v>507.93600000000009</v>
      </c>
      <c r="X71" s="5">
        <f t="shared" si="93"/>
        <v>23.088000000000001</v>
      </c>
      <c r="Y71" s="5">
        <f t="shared" ref="Y71:Y77" si="109">W71-X71</f>
        <v>484.84800000000007</v>
      </c>
      <c r="Z71" s="19">
        <f t="shared" ref="Z71:Z77" si="110">((W71+Y71)/2)*0.035</f>
        <v>17.373720000000002</v>
      </c>
      <c r="AB71" s="5">
        <f t="shared" ref="AB71:AB77" si="111">Y71</f>
        <v>484.84800000000007</v>
      </c>
      <c r="AC71" s="5">
        <f t="shared" si="97"/>
        <v>23.088000000000001</v>
      </c>
      <c r="AD71" s="5">
        <f t="shared" ref="AD71:AD77" si="112">AB71-AC71</f>
        <v>461.76000000000005</v>
      </c>
      <c r="AE71" s="19">
        <f t="shared" ref="AE71:AE77" si="113">((AB71+AD71)/2)*0.035</f>
        <v>16.565640000000005</v>
      </c>
    </row>
    <row r="72" spans="2:31" ht="12.75" customHeight="1">
      <c r="B72" s="31"/>
      <c r="C72" s="1" t="s">
        <v>75</v>
      </c>
      <c r="D72" s="26">
        <v>25</v>
      </c>
      <c r="F72" s="4"/>
      <c r="H72" s="5">
        <f t="shared" si="80"/>
        <v>0</v>
      </c>
      <c r="I72" s="5">
        <f t="shared" si="81"/>
        <v>0</v>
      </c>
      <c r="J72" s="5">
        <f t="shared" si="100"/>
        <v>0</v>
      </c>
      <c r="K72" s="19">
        <f t="shared" si="101"/>
        <v>0</v>
      </c>
      <c r="M72" s="5">
        <f t="shared" si="102"/>
        <v>0</v>
      </c>
      <c r="N72" s="5">
        <f t="shared" si="85"/>
        <v>0</v>
      </c>
      <c r="O72" s="5">
        <f t="shared" si="103"/>
        <v>0</v>
      </c>
      <c r="P72" s="19">
        <f t="shared" si="104"/>
        <v>0</v>
      </c>
      <c r="R72" s="5">
        <f t="shared" si="105"/>
        <v>0</v>
      </c>
      <c r="S72" s="5">
        <f t="shared" si="89"/>
        <v>0</v>
      </c>
      <c r="T72" s="5">
        <f t="shared" si="106"/>
        <v>0</v>
      </c>
      <c r="U72" s="19">
        <f t="shared" si="107"/>
        <v>0</v>
      </c>
      <c r="W72" s="5">
        <f t="shared" si="108"/>
        <v>0</v>
      </c>
      <c r="X72" s="5">
        <f t="shared" si="93"/>
        <v>0</v>
      </c>
      <c r="Y72" s="5">
        <f t="shared" si="109"/>
        <v>0</v>
      </c>
      <c r="Z72" s="19">
        <f t="shared" si="110"/>
        <v>0</v>
      </c>
      <c r="AB72" s="5">
        <f t="shared" si="111"/>
        <v>0</v>
      </c>
      <c r="AC72" s="5">
        <f t="shared" si="97"/>
        <v>0</v>
      </c>
      <c r="AD72" s="5">
        <f t="shared" si="112"/>
        <v>0</v>
      </c>
      <c r="AE72" s="19">
        <f t="shared" si="113"/>
        <v>0</v>
      </c>
    </row>
    <row r="73" spans="2:31" ht="12.75" customHeight="1">
      <c r="B73" s="31" t="str">
        <f>'7b. Capital Charges'!A4</f>
        <v>Equipment (Medium Term Assets) (7 Years useful Life)</v>
      </c>
      <c r="C73" s="1" t="s">
        <v>74</v>
      </c>
      <c r="D73" s="26">
        <v>7</v>
      </c>
      <c r="F73" s="4">
        <f>'7b. Capital Charges'!F4/1000</f>
        <v>3062.7</v>
      </c>
      <c r="H73" s="5">
        <f t="shared" si="80"/>
        <v>3062.7</v>
      </c>
      <c r="I73" s="5">
        <f t="shared" si="81"/>
        <v>437.52857142857141</v>
      </c>
      <c r="J73" s="5">
        <f t="shared" si="100"/>
        <v>2625.1714285714284</v>
      </c>
      <c r="K73" s="19">
        <f t="shared" si="101"/>
        <v>99.537750000000017</v>
      </c>
      <c r="M73" s="5">
        <f t="shared" si="102"/>
        <v>2625.1714285714284</v>
      </c>
      <c r="N73" s="5">
        <f t="shared" si="85"/>
        <v>437.52857142857141</v>
      </c>
      <c r="O73" s="5">
        <f t="shared" si="103"/>
        <v>2187.6428571428569</v>
      </c>
      <c r="P73" s="19">
        <f t="shared" si="104"/>
        <v>84.224249999999998</v>
      </c>
      <c r="R73" s="5">
        <f t="shared" si="105"/>
        <v>2187.6428571428569</v>
      </c>
      <c r="S73" s="5">
        <f t="shared" si="89"/>
        <v>437.52857142857141</v>
      </c>
      <c r="T73" s="5">
        <f t="shared" si="106"/>
        <v>1750.1142857142854</v>
      </c>
      <c r="U73" s="19">
        <f t="shared" si="107"/>
        <v>68.910749999999993</v>
      </c>
      <c r="W73" s="5">
        <f t="shared" si="108"/>
        <v>1750.1142857142854</v>
      </c>
      <c r="X73" s="5">
        <f t="shared" si="93"/>
        <v>437.52857142857141</v>
      </c>
      <c r="Y73" s="5">
        <f t="shared" si="109"/>
        <v>1312.5857142857139</v>
      </c>
      <c r="Z73" s="19">
        <f t="shared" si="110"/>
        <v>53.597249999999995</v>
      </c>
      <c r="AB73" s="5">
        <f t="shared" si="111"/>
        <v>1312.5857142857139</v>
      </c>
      <c r="AC73" s="5">
        <f t="shared" si="97"/>
        <v>437.52857142857141</v>
      </c>
      <c r="AD73" s="5">
        <f t="shared" si="112"/>
        <v>875.05714285714248</v>
      </c>
      <c r="AE73" s="19">
        <f t="shared" si="113"/>
        <v>38.283749999999991</v>
      </c>
    </row>
    <row r="74" spans="2:31" ht="12.75" customHeight="1">
      <c r="B74" s="31"/>
      <c r="C74" s="1" t="s">
        <v>74</v>
      </c>
      <c r="D74" s="26">
        <v>7</v>
      </c>
      <c r="F74" s="4"/>
      <c r="H74" s="5">
        <f t="shared" si="80"/>
        <v>0</v>
      </c>
      <c r="I74" s="5">
        <f t="shared" si="81"/>
        <v>0</v>
      </c>
      <c r="J74" s="5">
        <f t="shared" si="100"/>
        <v>0</v>
      </c>
      <c r="K74" s="19">
        <f t="shared" si="101"/>
        <v>0</v>
      </c>
      <c r="M74" s="5">
        <f t="shared" si="102"/>
        <v>0</v>
      </c>
      <c r="N74" s="5">
        <f t="shared" si="85"/>
        <v>0</v>
      </c>
      <c r="O74" s="5">
        <f t="shared" si="103"/>
        <v>0</v>
      </c>
      <c r="P74" s="19">
        <f t="shared" si="104"/>
        <v>0</v>
      </c>
      <c r="R74" s="5">
        <f t="shared" si="105"/>
        <v>0</v>
      </c>
      <c r="S74" s="5">
        <f t="shared" si="89"/>
        <v>0</v>
      </c>
      <c r="T74" s="5">
        <f t="shared" si="106"/>
        <v>0</v>
      </c>
      <c r="U74" s="19">
        <f t="shared" si="107"/>
        <v>0</v>
      </c>
      <c r="W74" s="5">
        <f t="shared" si="108"/>
        <v>0</v>
      </c>
      <c r="X74" s="5">
        <f t="shared" si="93"/>
        <v>0</v>
      </c>
      <c r="Y74" s="5">
        <f t="shared" si="109"/>
        <v>0</v>
      </c>
      <c r="Z74" s="19">
        <f t="shared" si="110"/>
        <v>0</v>
      </c>
      <c r="AB74" s="5">
        <f t="shared" si="111"/>
        <v>0</v>
      </c>
      <c r="AC74" s="5">
        <f t="shared" si="97"/>
        <v>0</v>
      </c>
      <c r="AD74" s="5">
        <f t="shared" si="112"/>
        <v>0</v>
      </c>
      <c r="AE74" s="19">
        <f t="shared" si="113"/>
        <v>0</v>
      </c>
    </row>
    <row r="75" spans="2:31" ht="12.75" customHeight="1">
      <c r="C75" s="1" t="s">
        <v>74</v>
      </c>
      <c r="D75" s="26">
        <v>7</v>
      </c>
      <c r="F75" s="4"/>
      <c r="H75" s="5">
        <f t="shared" si="80"/>
        <v>0</v>
      </c>
      <c r="I75" s="5">
        <f t="shared" si="81"/>
        <v>0</v>
      </c>
      <c r="J75" s="5">
        <f t="shared" si="100"/>
        <v>0</v>
      </c>
      <c r="K75" s="19">
        <f t="shared" si="101"/>
        <v>0</v>
      </c>
      <c r="M75" s="5">
        <f t="shared" si="102"/>
        <v>0</v>
      </c>
      <c r="N75" s="5">
        <f t="shared" si="85"/>
        <v>0</v>
      </c>
      <c r="O75" s="5">
        <f t="shared" si="103"/>
        <v>0</v>
      </c>
      <c r="P75" s="19">
        <f t="shared" si="104"/>
        <v>0</v>
      </c>
      <c r="R75" s="5">
        <f t="shared" si="105"/>
        <v>0</v>
      </c>
      <c r="S75" s="5">
        <f t="shared" si="89"/>
        <v>0</v>
      </c>
      <c r="T75" s="5">
        <f t="shared" si="106"/>
        <v>0</v>
      </c>
      <c r="U75" s="19">
        <f t="shared" si="107"/>
        <v>0</v>
      </c>
      <c r="W75" s="5">
        <f t="shared" si="108"/>
        <v>0</v>
      </c>
      <c r="X75" s="5">
        <f t="shared" si="93"/>
        <v>0</v>
      </c>
      <c r="Y75" s="5">
        <f t="shared" si="109"/>
        <v>0</v>
      </c>
      <c r="Z75" s="19">
        <f t="shared" si="110"/>
        <v>0</v>
      </c>
      <c r="AB75" s="5">
        <f t="shared" si="111"/>
        <v>0</v>
      </c>
      <c r="AC75" s="5">
        <f t="shared" si="97"/>
        <v>0</v>
      </c>
      <c r="AD75" s="5">
        <f t="shared" si="112"/>
        <v>0</v>
      </c>
      <c r="AE75" s="19">
        <f t="shared" si="113"/>
        <v>0</v>
      </c>
    </row>
    <row r="76" spans="2:31" ht="12.75" customHeight="1">
      <c r="C76" s="1" t="s">
        <v>31</v>
      </c>
      <c r="D76" s="26">
        <v>5</v>
      </c>
      <c r="F76" s="4"/>
      <c r="H76" s="5">
        <f t="shared" si="80"/>
        <v>0</v>
      </c>
      <c r="I76" s="5">
        <f t="shared" si="81"/>
        <v>0</v>
      </c>
      <c r="J76" s="5">
        <f t="shared" si="100"/>
        <v>0</v>
      </c>
      <c r="K76" s="19">
        <f t="shared" si="101"/>
        <v>0</v>
      </c>
      <c r="M76" s="5">
        <f t="shared" si="102"/>
        <v>0</v>
      </c>
      <c r="N76" s="5">
        <f t="shared" si="85"/>
        <v>0</v>
      </c>
      <c r="O76" s="5">
        <f t="shared" si="103"/>
        <v>0</v>
      </c>
      <c r="P76" s="19">
        <f t="shared" si="104"/>
        <v>0</v>
      </c>
      <c r="R76" s="5">
        <f t="shared" si="105"/>
        <v>0</v>
      </c>
      <c r="S76" s="5">
        <f t="shared" si="89"/>
        <v>0</v>
      </c>
      <c r="T76" s="5">
        <f t="shared" si="106"/>
        <v>0</v>
      </c>
      <c r="U76" s="19">
        <f t="shared" si="107"/>
        <v>0</v>
      </c>
      <c r="W76" s="5">
        <f t="shared" si="108"/>
        <v>0</v>
      </c>
      <c r="X76" s="5">
        <f t="shared" si="93"/>
        <v>0</v>
      </c>
      <c r="Y76" s="5">
        <f t="shared" si="109"/>
        <v>0</v>
      </c>
      <c r="Z76" s="19">
        <f t="shared" si="110"/>
        <v>0</v>
      </c>
      <c r="AB76" s="5">
        <f t="shared" si="111"/>
        <v>0</v>
      </c>
      <c r="AC76" s="5">
        <f t="shared" si="97"/>
        <v>0</v>
      </c>
      <c r="AD76" s="5">
        <f t="shared" si="112"/>
        <v>0</v>
      </c>
      <c r="AE76" s="19">
        <f t="shared" si="113"/>
        <v>0</v>
      </c>
    </row>
    <row r="77" spans="2:31" ht="12.75" customHeight="1">
      <c r="C77" s="1" t="s">
        <v>31</v>
      </c>
      <c r="D77" s="26">
        <v>3</v>
      </c>
      <c r="F77" s="4"/>
      <c r="H77" s="5">
        <f t="shared" si="80"/>
        <v>0</v>
      </c>
      <c r="I77" s="5">
        <f t="shared" si="81"/>
        <v>0</v>
      </c>
      <c r="J77" s="5">
        <f t="shared" si="100"/>
        <v>0</v>
      </c>
      <c r="K77" s="19">
        <f t="shared" si="101"/>
        <v>0</v>
      </c>
      <c r="M77" s="5">
        <f t="shared" si="102"/>
        <v>0</v>
      </c>
      <c r="N77" s="5">
        <f t="shared" si="85"/>
        <v>0</v>
      </c>
      <c r="O77" s="5">
        <f t="shared" si="103"/>
        <v>0</v>
      </c>
      <c r="P77" s="19">
        <f t="shared" si="104"/>
        <v>0</v>
      </c>
      <c r="R77" s="5">
        <f t="shared" si="105"/>
        <v>0</v>
      </c>
      <c r="S77" s="5">
        <f t="shared" si="89"/>
        <v>0</v>
      </c>
      <c r="T77" s="5">
        <f t="shared" si="106"/>
        <v>0</v>
      </c>
      <c r="U77" s="19">
        <f t="shared" si="107"/>
        <v>0</v>
      </c>
      <c r="W77" s="5">
        <f t="shared" si="108"/>
        <v>0</v>
      </c>
      <c r="X77" s="5">
        <f t="shared" si="93"/>
        <v>0</v>
      </c>
      <c r="Y77" s="5">
        <f t="shared" si="109"/>
        <v>0</v>
      </c>
      <c r="Z77" s="19">
        <f t="shared" si="110"/>
        <v>0</v>
      </c>
      <c r="AB77" s="5">
        <f t="shared" si="111"/>
        <v>0</v>
      </c>
      <c r="AC77" s="5">
        <f t="shared" si="97"/>
        <v>0</v>
      </c>
      <c r="AD77" s="5">
        <f t="shared" si="112"/>
        <v>0</v>
      </c>
      <c r="AE77" s="19">
        <f t="shared" si="113"/>
        <v>0</v>
      </c>
    </row>
    <row r="78" spans="2:31" s="76" customFormat="1" ht="12.75" customHeight="1">
      <c r="B78" s="76" t="s">
        <v>32</v>
      </c>
      <c r="D78" s="77"/>
      <c r="E78" s="77"/>
      <c r="F78" s="78">
        <f>SUM(F70:F77)</f>
        <v>22664.274330000004</v>
      </c>
      <c r="H78" s="78">
        <f>SUM(H70:H77)</f>
        <v>22664.274330000004</v>
      </c>
      <c r="I78" s="79">
        <f>SUM(I70:I77)</f>
        <v>1221.5915446285715</v>
      </c>
      <c r="J78" s="78">
        <f>SUM(J70:J77)</f>
        <v>21442.682785371431</v>
      </c>
      <c r="K78" s="80">
        <f>SUM(K70:K77)</f>
        <v>771.8717495190001</v>
      </c>
      <c r="M78" s="78">
        <f>SUM(M70:M77)</f>
        <v>21442.682785371431</v>
      </c>
      <c r="N78" s="79">
        <f>SUM(N70:N77)</f>
        <v>1221.5915446285715</v>
      </c>
      <c r="O78" s="78">
        <f>SUM(O70:O77)</f>
        <v>20221.091240742855</v>
      </c>
      <c r="P78" s="80">
        <f>SUM(P70:P77)</f>
        <v>729.11604545699993</v>
      </c>
      <c r="R78" s="78">
        <f>SUM(R70:R77)</f>
        <v>20221.091240742855</v>
      </c>
      <c r="S78" s="79">
        <f>SUM(S70:S77)</f>
        <v>1221.5915446285715</v>
      </c>
      <c r="T78" s="78">
        <f>SUM(T70:T77)</f>
        <v>18999.499696114282</v>
      </c>
      <c r="U78" s="80">
        <f>SUM(U70:U77)</f>
        <v>686.36034139499998</v>
      </c>
      <c r="W78" s="78">
        <f>SUM(W70:W77)</f>
        <v>18999.499696114282</v>
      </c>
      <c r="X78" s="79">
        <f>SUM(X70:X77)</f>
        <v>1221.5915446285715</v>
      </c>
      <c r="Y78" s="78">
        <f>SUM(Y70:Y77)</f>
        <v>17777.90815148571</v>
      </c>
      <c r="Z78" s="80">
        <f>SUM(Z70:Z77)</f>
        <v>643.60463733300003</v>
      </c>
      <c r="AB78" s="78">
        <f>SUM(AB70:AB77)</f>
        <v>17777.90815148571</v>
      </c>
      <c r="AC78" s="79">
        <f>SUM(AC70:AC77)</f>
        <v>1221.5915446285715</v>
      </c>
      <c r="AD78" s="78">
        <f>SUM(AD70:AD77)</f>
        <v>16556.316606857141</v>
      </c>
      <c r="AE78" s="80">
        <f>SUM(AE70:AE77)</f>
        <v>600.84893327099985</v>
      </c>
    </row>
    <row r="79" spans="2:31" ht="12.75" customHeight="1"/>
    <row r="80" spans="2:31" ht="12.75" customHeight="1"/>
  </sheetData>
  <pageMargins left="0.70866141732283472" right="0.70866141732283472" top="0.74803149606299213" bottom="0.74803149606299213" header="0.31496062992125984" footer="0.31496062992125984"/>
  <pageSetup paperSize="9" scale="4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1:AD63"/>
  <sheetViews>
    <sheetView tabSelected="1" topLeftCell="A24" workbookViewId="0">
      <selection activeCell="A40" sqref="A40"/>
    </sheetView>
  </sheetViews>
  <sheetFormatPr baseColWidth="10" defaultColWidth="8.83203125" defaultRowHeight="15"/>
  <cols>
    <col min="1" max="1" width="4.1640625" customWidth="1"/>
    <col min="2" max="2" width="27.83203125" style="110" customWidth="1"/>
    <col min="3" max="27" width="12.6640625" customWidth="1"/>
    <col min="28" max="28" width="12.6640625" hidden="1" customWidth="1"/>
    <col min="29" max="29" width="12.6640625" style="49" customWidth="1"/>
    <col min="30" max="30" width="23.5" customWidth="1"/>
    <col min="31" max="42" width="12.6640625" customWidth="1"/>
  </cols>
  <sheetData>
    <row r="1" spans="2:30">
      <c r="B1" t="s">
        <v>0</v>
      </c>
    </row>
    <row r="2" spans="2:30">
      <c r="B2" t="s">
        <v>1</v>
      </c>
    </row>
    <row r="3" spans="2:30" ht="15.75" customHeight="1">
      <c r="B3" s="142" t="s">
        <v>33</v>
      </c>
    </row>
    <row r="4" spans="2:30" ht="15.75" customHeight="1">
      <c r="B4" s="110" t="s">
        <v>39</v>
      </c>
    </row>
    <row r="5" spans="2:30" ht="15.75" customHeight="1">
      <c r="B5" s="110" t="s">
        <v>235</v>
      </c>
    </row>
    <row r="6" spans="2:30" ht="15.75" customHeight="1">
      <c r="B6" s="110" t="s">
        <v>10</v>
      </c>
      <c r="C6" s="100" t="str">
        <f>'3. Summary'!$C$5</f>
        <v>North West London Elective Orthopaedic Centre (at CMH)</v>
      </c>
      <c r="D6" s="81"/>
      <c r="E6" s="101"/>
    </row>
    <row r="7" spans="2:30" ht="15.75" customHeight="1">
      <c r="B7" s="110" t="s">
        <v>102</v>
      </c>
      <c r="C7" s="130">
        <f>'2. Standing data'!C19</f>
        <v>45011</v>
      </c>
      <c r="D7" s="99"/>
    </row>
    <row r="8" spans="2:30" ht="15.75" customHeight="1">
      <c r="B8" s="113"/>
      <c r="C8" s="87"/>
      <c r="D8" s="99"/>
    </row>
    <row r="9" spans="2:30" ht="15.75" customHeight="1">
      <c r="C9" s="27" t="s">
        <v>95</v>
      </c>
    </row>
    <row r="10" spans="2:30" ht="15.75" customHeight="1">
      <c r="C10" s="108" t="s">
        <v>96</v>
      </c>
    </row>
    <row r="11" spans="2:30" ht="16" thickBot="1"/>
    <row r="12" spans="2:30" ht="17" thickTop="1">
      <c r="B12" s="110" t="str">
        <f>'2. Standing data'!B13</f>
        <v>Option One - Base Case</v>
      </c>
      <c r="C12" s="29" t="s">
        <v>21</v>
      </c>
      <c r="D12" s="29" t="s">
        <v>22</v>
      </c>
      <c r="E12" s="29" t="s">
        <v>23</v>
      </c>
      <c r="F12" s="29" t="s">
        <v>24</v>
      </c>
      <c r="G12" s="29" t="s">
        <v>25</v>
      </c>
      <c r="H12" s="29" t="s">
        <v>123</v>
      </c>
      <c r="I12" s="29" t="s">
        <v>124</v>
      </c>
      <c r="J12" s="29" t="s">
        <v>125</v>
      </c>
      <c r="K12" s="29" t="s">
        <v>126</v>
      </c>
      <c r="L12" s="29" t="s">
        <v>127</v>
      </c>
      <c r="M12" s="29" t="s">
        <v>128</v>
      </c>
      <c r="N12" s="29" t="s">
        <v>129</v>
      </c>
      <c r="O12" s="29" t="s">
        <v>130</v>
      </c>
      <c r="P12" s="29" t="s">
        <v>131</v>
      </c>
      <c r="Q12" s="29" t="s">
        <v>132</v>
      </c>
      <c r="R12" s="29" t="s">
        <v>133</v>
      </c>
      <c r="S12" s="29" t="s">
        <v>134</v>
      </c>
      <c r="T12" s="29" t="s">
        <v>135</v>
      </c>
      <c r="U12" s="29" t="s">
        <v>136</v>
      </c>
      <c r="V12" s="29" t="s">
        <v>137</v>
      </c>
      <c r="W12" s="29" t="s">
        <v>138</v>
      </c>
      <c r="X12" s="29" t="s">
        <v>139</v>
      </c>
      <c r="Y12" s="29" t="s">
        <v>140</v>
      </c>
      <c r="Z12" s="29" t="s">
        <v>141</v>
      </c>
      <c r="AA12" s="29" t="s">
        <v>142</v>
      </c>
      <c r="AB12" s="37"/>
      <c r="AC12" s="57" t="s">
        <v>34</v>
      </c>
    </row>
    <row r="13" spans="2:30" ht="16">
      <c r="B13" s="94" t="str">
        <f>'2. Standing data'!C13</f>
        <v xml:space="preserve"> Do Nothing (LNWH)</v>
      </c>
      <c r="C13" s="30" t="s">
        <v>26</v>
      </c>
      <c r="D13" s="30" t="s">
        <v>26</v>
      </c>
      <c r="E13" s="30" t="s">
        <v>26</v>
      </c>
      <c r="F13" s="30" t="s">
        <v>26</v>
      </c>
      <c r="G13" s="30" t="s">
        <v>26</v>
      </c>
      <c r="H13" s="30" t="s">
        <v>26</v>
      </c>
      <c r="I13" s="30" t="s">
        <v>26</v>
      </c>
      <c r="J13" s="30" t="s">
        <v>26</v>
      </c>
      <c r="K13" s="30" t="s">
        <v>26</v>
      </c>
      <c r="L13" s="30" t="s">
        <v>26</v>
      </c>
      <c r="M13" s="30" t="s">
        <v>26</v>
      </c>
      <c r="N13" s="30" t="s">
        <v>26</v>
      </c>
      <c r="O13" s="30" t="s">
        <v>26</v>
      </c>
      <c r="P13" s="30" t="s">
        <v>26</v>
      </c>
      <c r="Q13" s="30" t="s">
        <v>26</v>
      </c>
      <c r="R13" s="30" t="s">
        <v>26</v>
      </c>
      <c r="S13" s="30" t="s">
        <v>26</v>
      </c>
      <c r="T13" s="30" t="s">
        <v>26</v>
      </c>
      <c r="U13" s="30" t="s">
        <v>26</v>
      </c>
      <c r="V13" s="30" t="s">
        <v>26</v>
      </c>
      <c r="W13" s="30" t="s">
        <v>26</v>
      </c>
      <c r="X13" s="30" t="s">
        <v>26</v>
      </c>
      <c r="Y13" s="30" t="s">
        <v>26</v>
      </c>
      <c r="Z13" s="30" t="s">
        <v>26</v>
      </c>
      <c r="AA13" s="30" t="s">
        <v>26</v>
      </c>
      <c r="AB13" s="38"/>
      <c r="AC13" s="58" t="s">
        <v>26</v>
      </c>
    </row>
    <row r="14" spans="2:30" ht="16">
      <c r="B14" s="110" t="s">
        <v>37</v>
      </c>
      <c r="C14" s="50">
        <f>-'4. Revenue'!O67</f>
        <v>-2046.8993576075536</v>
      </c>
      <c r="D14" s="50">
        <f>-'4. Revenue'!P67</f>
        <v>-2111.4230296471251</v>
      </c>
      <c r="E14" s="50">
        <f>-'4. Revenue'!Q67</f>
        <v>-2208.6134625780414</v>
      </c>
      <c r="F14" s="50">
        <f>-'4. Revenue'!R67</f>
        <v>-2326.8897236857774</v>
      </c>
      <c r="G14" s="50">
        <f>-'4. Revenue'!S67</f>
        <v>-2449.4243623719867</v>
      </c>
      <c r="H14" s="50">
        <f t="shared" ref="H14:AA14" si="0">G14</f>
        <v>-2449.4243623719867</v>
      </c>
      <c r="I14" s="50">
        <f t="shared" si="0"/>
        <v>-2449.4243623719867</v>
      </c>
      <c r="J14" s="50">
        <f t="shared" si="0"/>
        <v>-2449.4243623719867</v>
      </c>
      <c r="K14" s="50">
        <f t="shared" si="0"/>
        <v>-2449.4243623719867</v>
      </c>
      <c r="L14" s="50">
        <f t="shared" si="0"/>
        <v>-2449.4243623719867</v>
      </c>
      <c r="M14" s="50">
        <f t="shared" si="0"/>
        <v>-2449.4243623719867</v>
      </c>
      <c r="N14" s="50">
        <f t="shared" si="0"/>
        <v>-2449.4243623719867</v>
      </c>
      <c r="O14" s="50">
        <f t="shared" si="0"/>
        <v>-2449.4243623719867</v>
      </c>
      <c r="P14" s="50">
        <f t="shared" si="0"/>
        <v>-2449.4243623719867</v>
      </c>
      <c r="Q14" s="50">
        <f t="shared" si="0"/>
        <v>-2449.4243623719867</v>
      </c>
      <c r="R14" s="50">
        <f t="shared" si="0"/>
        <v>-2449.4243623719867</v>
      </c>
      <c r="S14" s="50">
        <f t="shared" si="0"/>
        <v>-2449.4243623719867</v>
      </c>
      <c r="T14" s="50">
        <f t="shared" si="0"/>
        <v>-2449.4243623719867</v>
      </c>
      <c r="U14" s="50">
        <f t="shared" si="0"/>
        <v>-2449.4243623719867</v>
      </c>
      <c r="V14" s="50">
        <f t="shared" si="0"/>
        <v>-2449.4243623719867</v>
      </c>
      <c r="W14" s="50">
        <f t="shared" si="0"/>
        <v>-2449.4243623719867</v>
      </c>
      <c r="X14" s="50">
        <f t="shared" si="0"/>
        <v>-2449.4243623719867</v>
      </c>
      <c r="Y14" s="50">
        <f t="shared" si="0"/>
        <v>-2449.4243623719867</v>
      </c>
      <c r="Z14" s="50">
        <f t="shared" si="0"/>
        <v>-2449.4243623719867</v>
      </c>
      <c r="AA14" s="50">
        <f t="shared" si="0"/>
        <v>-2449.4243623719867</v>
      </c>
      <c r="AB14" s="50"/>
      <c r="AC14" s="59">
        <f>SUM(C14:AB14)</f>
        <v>-60131.737183330246</v>
      </c>
      <c r="AD14" s="28" t="s">
        <v>43</v>
      </c>
    </row>
    <row r="15" spans="2:30" ht="16">
      <c r="B15" s="110" t="s">
        <v>38</v>
      </c>
      <c r="C15" s="50">
        <f>-'5. Capital'!F21</f>
        <v>0</v>
      </c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9">
        <f>SUM(C15:AB15)</f>
        <v>0</v>
      </c>
      <c r="AD15" s="28" t="s">
        <v>64</v>
      </c>
    </row>
    <row r="16" spans="2:30" ht="16">
      <c r="B16" s="110" t="s">
        <v>34</v>
      </c>
      <c r="C16" s="51">
        <f t="shared" ref="C16:AC16" si="1">SUM(C14:C15)</f>
        <v>-2046.8993576075536</v>
      </c>
      <c r="D16" s="51">
        <f t="shared" si="1"/>
        <v>-2111.4230296471251</v>
      </c>
      <c r="E16" s="51">
        <f t="shared" si="1"/>
        <v>-2208.6134625780414</v>
      </c>
      <c r="F16" s="51">
        <f t="shared" si="1"/>
        <v>-2326.8897236857774</v>
      </c>
      <c r="G16" s="51">
        <f t="shared" ref="G16:AA16" si="2">SUM(G14:G15)</f>
        <v>-2449.4243623719867</v>
      </c>
      <c r="H16" s="51">
        <f t="shared" si="2"/>
        <v>-2449.4243623719867</v>
      </c>
      <c r="I16" s="51">
        <f t="shared" si="2"/>
        <v>-2449.4243623719867</v>
      </c>
      <c r="J16" s="51">
        <f t="shared" si="2"/>
        <v>-2449.4243623719867</v>
      </c>
      <c r="K16" s="51">
        <f t="shared" si="2"/>
        <v>-2449.4243623719867</v>
      </c>
      <c r="L16" s="51">
        <f t="shared" si="2"/>
        <v>-2449.4243623719867</v>
      </c>
      <c r="M16" s="51">
        <f t="shared" si="2"/>
        <v>-2449.4243623719867</v>
      </c>
      <c r="N16" s="51">
        <f t="shared" si="2"/>
        <v>-2449.4243623719867</v>
      </c>
      <c r="O16" s="51">
        <f t="shared" si="2"/>
        <v>-2449.4243623719867</v>
      </c>
      <c r="P16" s="51">
        <f t="shared" si="2"/>
        <v>-2449.4243623719867</v>
      </c>
      <c r="Q16" s="51">
        <f t="shared" si="2"/>
        <v>-2449.4243623719867</v>
      </c>
      <c r="R16" s="51">
        <f t="shared" si="2"/>
        <v>-2449.4243623719867</v>
      </c>
      <c r="S16" s="51">
        <f t="shared" si="2"/>
        <v>-2449.4243623719867</v>
      </c>
      <c r="T16" s="51">
        <f t="shared" si="2"/>
        <v>-2449.4243623719867</v>
      </c>
      <c r="U16" s="51">
        <f t="shared" si="2"/>
        <v>-2449.4243623719867</v>
      </c>
      <c r="V16" s="51">
        <f t="shared" si="2"/>
        <v>-2449.4243623719867</v>
      </c>
      <c r="W16" s="51">
        <f t="shared" si="2"/>
        <v>-2449.4243623719867</v>
      </c>
      <c r="X16" s="51">
        <f t="shared" si="2"/>
        <v>-2449.4243623719867</v>
      </c>
      <c r="Y16" s="51">
        <f t="shared" si="2"/>
        <v>-2449.4243623719867</v>
      </c>
      <c r="Z16" s="51">
        <f t="shared" si="2"/>
        <v>-2449.4243623719867</v>
      </c>
      <c r="AA16" s="51">
        <f t="shared" si="2"/>
        <v>-2449.4243623719867</v>
      </c>
      <c r="AB16" s="51"/>
      <c r="AC16" s="51">
        <f t="shared" si="1"/>
        <v>-60131.737183330246</v>
      </c>
      <c r="AD16" s="28"/>
    </row>
    <row r="17" spans="2:30" ht="16">
      <c r="B17" s="110" t="s">
        <v>234</v>
      </c>
      <c r="C17" s="55">
        <v>1</v>
      </c>
      <c r="D17" s="55">
        <f t="shared" ref="D17:AA17" si="3">ROUND(C17/1.1,3)</f>
        <v>0.90900000000000003</v>
      </c>
      <c r="E17" s="55">
        <f t="shared" si="3"/>
        <v>0.82599999999999996</v>
      </c>
      <c r="F17" s="55">
        <f t="shared" si="3"/>
        <v>0.751</v>
      </c>
      <c r="G17" s="55">
        <f t="shared" si="3"/>
        <v>0.68300000000000005</v>
      </c>
      <c r="H17" s="55">
        <f t="shared" si="3"/>
        <v>0.621</v>
      </c>
      <c r="I17" s="55">
        <f t="shared" si="3"/>
        <v>0.56499999999999995</v>
      </c>
      <c r="J17" s="55">
        <f t="shared" si="3"/>
        <v>0.51400000000000001</v>
      </c>
      <c r="K17" s="55">
        <f t="shared" si="3"/>
        <v>0.46700000000000003</v>
      </c>
      <c r="L17" s="55">
        <f t="shared" si="3"/>
        <v>0.42499999999999999</v>
      </c>
      <c r="M17" s="55">
        <f t="shared" si="3"/>
        <v>0.38600000000000001</v>
      </c>
      <c r="N17" s="55">
        <f t="shared" si="3"/>
        <v>0.35099999999999998</v>
      </c>
      <c r="O17" s="55">
        <f t="shared" si="3"/>
        <v>0.31900000000000001</v>
      </c>
      <c r="P17" s="55">
        <f t="shared" si="3"/>
        <v>0.28999999999999998</v>
      </c>
      <c r="Q17" s="55">
        <f t="shared" si="3"/>
        <v>0.26400000000000001</v>
      </c>
      <c r="R17" s="55">
        <f t="shared" si="3"/>
        <v>0.24</v>
      </c>
      <c r="S17" s="55">
        <f t="shared" si="3"/>
        <v>0.218</v>
      </c>
      <c r="T17" s="55">
        <f t="shared" si="3"/>
        <v>0.19800000000000001</v>
      </c>
      <c r="U17" s="55">
        <f t="shared" si="3"/>
        <v>0.18</v>
      </c>
      <c r="V17" s="55">
        <f t="shared" si="3"/>
        <v>0.16400000000000001</v>
      </c>
      <c r="W17" s="55">
        <f t="shared" si="3"/>
        <v>0.14899999999999999</v>
      </c>
      <c r="X17" s="55">
        <f t="shared" si="3"/>
        <v>0.13500000000000001</v>
      </c>
      <c r="Y17" s="55">
        <f t="shared" si="3"/>
        <v>0.123</v>
      </c>
      <c r="Z17" s="55">
        <f t="shared" si="3"/>
        <v>0.112</v>
      </c>
      <c r="AA17" s="55">
        <f t="shared" si="3"/>
        <v>0.10199999999999999</v>
      </c>
      <c r="AB17" s="55"/>
      <c r="AC17" s="61"/>
      <c r="AD17" s="28"/>
    </row>
    <row r="18" spans="2:30" ht="17" thickBot="1">
      <c r="B18" s="114" t="s">
        <v>35</v>
      </c>
      <c r="C18" s="52">
        <f>C16*C17</f>
        <v>-2046.8993576075536</v>
      </c>
      <c r="D18" s="52">
        <f t="shared" ref="D18:F18" si="4">D16*D17</f>
        <v>-1919.2835339492367</v>
      </c>
      <c r="E18" s="52">
        <f t="shared" si="4"/>
        <v>-1824.3147200894621</v>
      </c>
      <c r="F18" s="52">
        <f t="shared" si="4"/>
        <v>-1747.4941824880189</v>
      </c>
      <c r="G18" s="52">
        <f t="shared" ref="G18:AA18" si="5">G16*G17</f>
        <v>-1672.956839500067</v>
      </c>
      <c r="H18" s="52">
        <f t="shared" si="5"/>
        <v>-1521.0925290330038</v>
      </c>
      <c r="I18" s="52">
        <f t="shared" si="5"/>
        <v>-1383.9247647401723</v>
      </c>
      <c r="J18" s="52">
        <f t="shared" si="5"/>
        <v>-1259.0041222592013</v>
      </c>
      <c r="K18" s="52">
        <f t="shared" si="5"/>
        <v>-1143.8811772277179</v>
      </c>
      <c r="L18" s="52">
        <f t="shared" si="5"/>
        <v>-1041.0053540080944</v>
      </c>
      <c r="M18" s="52">
        <f t="shared" si="5"/>
        <v>-945.47780387558691</v>
      </c>
      <c r="N18" s="52">
        <f t="shared" si="5"/>
        <v>-859.74795119256726</v>
      </c>
      <c r="O18" s="52">
        <f t="shared" si="5"/>
        <v>-781.36637159666373</v>
      </c>
      <c r="P18" s="52">
        <f t="shared" si="5"/>
        <v>-710.33306508787609</v>
      </c>
      <c r="Q18" s="52">
        <f t="shared" si="5"/>
        <v>-646.64803166620447</v>
      </c>
      <c r="R18" s="52">
        <f t="shared" si="5"/>
        <v>-587.86184696927683</v>
      </c>
      <c r="S18" s="52">
        <f t="shared" si="5"/>
        <v>-533.97451099709315</v>
      </c>
      <c r="T18" s="52">
        <f t="shared" si="5"/>
        <v>-484.98602374965338</v>
      </c>
      <c r="U18" s="52">
        <f t="shared" si="5"/>
        <v>-440.89638522695759</v>
      </c>
      <c r="V18" s="52">
        <f t="shared" si="5"/>
        <v>-401.70559542900583</v>
      </c>
      <c r="W18" s="52">
        <f t="shared" si="5"/>
        <v>-364.96422999342599</v>
      </c>
      <c r="X18" s="52">
        <f t="shared" si="5"/>
        <v>-330.67228892021825</v>
      </c>
      <c r="Y18" s="52">
        <f t="shared" si="5"/>
        <v>-301.27919657175437</v>
      </c>
      <c r="Z18" s="52">
        <f t="shared" si="5"/>
        <v>-274.33552858566253</v>
      </c>
      <c r="AA18" s="52">
        <f t="shared" si="5"/>
        <v>-249.84128496194262</v>
      </c>
      <c r="AB18" s="56"/>
      <c r="AC18" s="62">
        <f>SUM(C18:AB18)</f>
        <v>-23473.946695726423</v>
      </c>
      <c r="AD18" s="28"/>
    </row>
    <row r="19" spans="2:30" ht="16" thickTop="1"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</row>
    <row r="20" spans="2:30"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</row>
    <row r="21" spans="2:30" ht="16" thickBot="1"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</row>
    <row r="22" spans="2:30" ht="17" thickTop="1">
      <c r="B22" s="110" t="str">
        <f>'2. Standing data'!B14</f>
        <v>Option Four</v>
      </c>
      <c r="C22" s="53" t="s">
        <v>21</v>
      </c>
      <c r="D22" s="53" t="s">
        <v>22</v>
      </c>
      <c r="E22" s="53" t="s">
        <v>23</v>
      </c>
      <c r="F22" s="53" t="s">
        <v>24</v>
      </c>
      <c r="G22" s="53" t="s">
        <v>25</v>
      </c>
      <c r="H22" s="29" t="s">
        <v>123</v>
      </c>
      <c r="I22" s="29" t="s">
        <v>124</v>
      </c>
      <c r="J22" s="29" t="s">
        <v>125</v>
      </c>
      <c r="K22" s="29" t="s">
        <v>126</v>
      </c>
      <c r="L22" s="29" t="s">
        <v>127</v>
      </c>
      <c r="M22" s="29" t="s">
        <v>128</v>
      </c>
      <c r="N22" s="29" t="s">
        <v>129</v>
      </c>
      <c r="O22" s="29" t="s">
        <v>130</v>
      </c>
      <c r="P22" s="29" t="s">
        <v>131</v>
      </c>
      <c r="Q22" s="29" t="s">
        <v>132</v>
      </c>
      <c r="R22" s="29" t="s">
        <v>133</v>
      </c>
      <c r="S22" s="29" t="s">
        <v>134</v>
      </c>
      <c r="T22" s="29" t="s">
        <v>135</v>
      </c>
      <c r="U22" s="29" t="s">
        <v>136</v>
      </c>
      <c r="V22" s="29" t="s">
        <v>137</v>
      </c>
      <c r="W22" s="29" t="s">
        <v>138</v>
      </c>
      <c r="X22" s="29" t="s">
        <v>139</v>
      </c>
      <c r="Y22" s="29" t="s">
        <v>140</v>
      </c>
      <c r="Z22" s="29" t="s">
        <v>141</v>
      </c>
      <c r="AA22" s="29" t="s">
        <v>142</v>
      </c>
      <c r="AB22" s="53"/>
      <c r="AC22" s="57" t="s">
        <v>34</v>
      </c>
      <c r="AD22" s="28"/>
    </row>
    <row r="23" spans="2:30" ht="41.25" customHeight="1">
      <c r="B23" s="94" t="str">
        <f>'2. Standing data'!C14</f>
        <v>LNWH DC &amp; IP + NWL Hips &amp; Knees</v>
      </c>
      <c r="C23" s="54" t="s">
        <v>26</v>
      </c>
      <c r="D23" s="54" t="s">
        <v>26</v>
      </c>
      <c r="E23" s="54" t="s">
        <v>26</v>
      </c>
      <c r="F23" s="54" t="s">
        <v>26</v>
      </c>
      <c r="G23" s="54" t="s">
        <v>26</v>
      </c>
      <c r="H23" s="30" t="s">
        <v>26</v>
      </c>
      <c r="I23" s="30" t="s">
        <v>26</v>
      </c>
      <c r="J23" s="30" t="s">
        <v>26</v>
      </c>
      <c r="K23" s="30" t="s">
        <v>26</v>
      </c>
      <c r="L23" s="30" t="s">
        <v>26</v>
      </c>
      <c r="M23" s="30" t="s">
        <v>26</v>
      </c>
      <c r="N23" s="30" t="s">
        <v>26</v>
      </c>
      <c r="O23" s="30" t="s">
        <v>26</v>
      </c>
      <c r="P23" s="30" t="s">
        <v>26</v>
      </c>
      <c r="Q23" s="30" t="s">
        <v>26</v>
      </c>
      <c r="R23" s="30" t="s">
        <v>26</v>
      </c>
      <c r="S23" s="30" t="s">
        <v>26</v>
      </c>
      <c r="T23" s="30" t="s">
        <v>26</v>
      </c>
      <c r="U23" s="30" t="s">
        <v>26</v>
      </c>
      <c r="V23" s="30" t="s">
        <v>26</v>
      </c>
      <c r="W23" s="30" t="s">
        <v>26</v>
      </c>
      <c r="X23" s="30" t="s">
        <v>26</v>
      </c>
      <c r="Y23" s="30" t="s">
        <v>26</v>
      </c>
      <c r="Z23" s="30" t="s">
        <v>26</v>
      </c>
      <c r="AA23" s="30" t="s">
        <v>26</v>
      </c>
      <c r="AB23" s="54"/>
      <c r="AC23" s="58" t="s">
        <v>26</v>
      </c>
      <c r="AD23" s="28"/>
    </row>
    <row r="24" spans="2:30" ht="16">
      <c r="B24" s="110" t="s">
        <v>37</v>
      </c>
      <c r="C24" s="28">
        <f>-'4. Revenue'!U67</f>
        <v>-1792.11981238667</v>
      </c>
      <c r="D24" s="28">
        <f>-'4. Revenue'!V67</f>
        <v>1113.1771695961429</v>
      </c>
      <c r="E24" s="28">
        <f>-'4. Revenue'!W67</f>
        <v>1123.6052693887298</v>
      </c>
      <c r="F24" s="28">
        <f>-'4. Revenue'!X67</f>
        <v>1105.402907855073</v>
      </c>
      <c r="G24" s="28">
        <f>-'4. Revenue'!Y67</f>
        <v>1080.7848064575126</v>
      </c>
      <c r="H24" s="28">
        <f t="shared" ref="H24:AA24" si="6">G24</f>
        <v>1080.7848064575126</v>
      </c>
      <c r="I24" s="28">
        <f t="shared" si="6"/>
        <v>1080.7848064575126</v>
      </c>
      <c r="J24" s="28">
        <f t="shared" si="6"/>
        <v>1080.7848064575126</v>
      </c>
      <c r="K24" s="28">
        <f t="shared" si="6"/>
        <v>1080.7848064575126</v>
      </c>
      <c r="L24" s="28">
        <f t="shared" si="6"/>
        <v>1080.7848064575126</v>
      </c>
      <c r="M24" s="28">
        <f t="shared" si="6"/>
        <v>1080.7848064575126</v>
      </c>
      <c r="N24" s="28">
        <f t="shared" si="6"/>
        <v>1080.7848064575126</v>
      </c>
      <c r="O24" s="28">
        <f t="shared" si="6"/>
        <v>1080.7848064575126</v>
      </c>
      <c r="P24" s="28">
        <f t="shared" si="6"/>
        <v>1080.7848064575126</v>
      </c>
      <c r="Q24" s="28">
        <f t="shared" si="6"/>
        <v>1080.7848064575126</v>
      </c>
      <c r="R24" s="28">
        <f t="shared" si="6"/>
        <v>1080.7848064575126</v>
      </c>
      <c r="S24" s="28">
        <f t="shared" si="6"/>
        <v>1080.7848064575126</v>
      </c>
      <c r="T24" s="28">
        <f t="shared" si="6"/>
        <v>1080.7848064575126</v>
      </c>
      <c r="U24" s="28">
        <f t="shared" si="6"/>
        <v>1080.7848064575126</v>
      </c>
      <c r="V24" s="28">
        <f t="shared" si="6"/>
        <v>1080.7848064575126</v>
      </c>
      <c r="W24" s="28">
        <f t="shared" si="6"/>
        <v>1080.7848064575126</v>
      </c>
      <c r="X24" s="28">
        <f t="shared" si="6"/>
        <v>1080.7848064575126</v>
      </c>
      <c r="Y24" s="28">
        <f t="shared" si="6"/>
        <v>1080.7848064575126</v>
      </c>
      <c r="Z24" s="28">
        <f t="shared" si="6"/>
        <v>1080.7848064575126</v>
      </c>
      <c r="AA24" s="28">
        <f t="shared" si="6"/>
        <v>1080.7848064575126</v>
      </c>
      <c r="AB24" s="28"/>
      <c r="AC24" s="59">
        <f>SUM(C24:AB24)</f>
        <v>24246.546470061032</v>
      </c>
      <c r="AD24" s="28" t="s">
        <v>43</v>
      </c>
    </row>
    <row r="25" spans="2:30" ht="16">
      <c r="B25" s="110" t="s">
        <v>38</v>
      </c>
      <c r="C25" s="28">
        <f>-'5. Capital'!F35</f>
        <v>-4994.6148660000008</v>
      </c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59">
        <f>SUM(C25:AB25)</f>
        <v>-4994.6148660000008</v>
      </c>
      <c r="AD25" s="28" t="s">
        <v>64</v>
      </c>
    </row>
    <row r="26" spans="2:30" ht="16">
      <c r="B26" s="110" t="s">
        <v>34</v>
      </c>
      <c r="C26" s="51">
        <f t="shared" ref="C26:AC26" si="7">SUM(C24:C25)</f>
        <v>-6786.7346783866706</v>
      </c>
      <c r="D26" s="51">
        <f t="shared" si="7"/>
        <v>1113.1771695961429</v>
      </c>
      <c r="E26" s="51">
        <f t="shared" si="7"/>
        <v>1123.6052693887298</v>
      </c>
      <c r="F26" s="51">
        <f t="shared" si="7"/>
        <v>1105.402907855073</v>
      </c>
      <c r="G26" s="51">
        <f t="shared" ref="G26:AA26" si="8">SUM(G24:G25)</f>
        <v>1080.7848064575126</v>
      </c>
      <c r="H26" s="51">
        <f t="shared" si="8"/>
        <v>1080.7848064575126</v>
      </c>
      <c r="I26" s="51">
        <f t="shared" si="8"/>
        <v>1080.7848064575126</v>
      </c>
      <c r="J26" s="51">
        <f t="shared" si="8"/>
        <v>1080.7848064575126</v>
      </c>
      <c r="K26" s="51">
        <f t="shared" si="8"/>
        <v>1080.7848064575126</v>
      </c>
      <c r="L26" s="51">
        <f t="shared" si="8"/>
        <v>1080.7848064575126</v>
      </c>
      <c r="M26" s="51">
        <f t="shared" si="8"/>
        <v>1080.7848064575126</v>
      </c>
      <c r="N26" s="51">
        <f t="shared" si="8"/>
        <v>1080.7848064575126</v>
      </c>
      <c r="O26" s="51">
        <f t="shared" si="8"/>
        <v>1080.7848064575126</v>
      </c>
      <c r="P26" s="51">
        <f t="shared" si="8"/>
        <v>1080.7848064575126</v>
      </c>
      <c r="Q26" s="51">
        <f t="shared" si="8"/>
        <v>1080.7848064575126</v>
      </c>
      <c r="R26" s="51">
        <f t="shared" si="8"/>
        <v>1080.7848064575126</v>
      </c>
      <c r="S26" s="51">
        <f t="shared" si="8"/>
        <v>1080.7848064575126</v>
      </c>
      <c r="T26" s="51">
        <f t="shared" si="8"/>
        <v>1080.7848064575126</v>
      </c>
      <c r="U26" s="51">
        <f t="shared" si="8"/>
        <v>1080.7848064575126</v>
      </c>
      <c r="V26" s="51">
        <f t="shared" si="8"/>
        <v>1080.7848064575126</v>
      </c>
      <c r="W26" s="51">
        <f t="shared" si="8"/>
        <v>1080.7848064575126</v>
      </c>
      <c r="X26" s="51">
        <f t="shared" si="8"/>
        <v>1080.7848064575126</v>
      </c>
      <c r="Y26" s="51">
        <f t="shared" si="8"/>
        <v>1080.7848064575126</v>
      </c>
      <c r="Z26" s="51">
        <f t="shared" si="8"/>
        <v>1080.7848064575126</v>
      </c>
      <c r="AA26" s="51">
        <f t="shared" si="8"/>
        <v>1080.7848064575126</v>
      </c>
      <c r="AB26" s="51"/>
      <c r="AC26" s="51">
        <f t="shared" si="7"/>
        <v>19251.931604061032</v>
      </c>
      <c r="AD26" s="28"/>
    </row>
    <row r="27" spans="2:30" ht="16">
      <c r="B27" s="110" t="s">
        <v>234</v>
      </c>
      <c r="C27" s="55">
        <v>1</v>
      </c>
      <c r="D27" s="55">
        <f t="shared" ref="D27:AA27" si="9">ROUND(C27/1.1,3)</f>
        <v>0.90900000000000003</v>
      </c>
      <c r="E27" s="55">
        <f t="shared" si="9"/>
        <v>0.82599999999999996</v>
      </c>
      <c r="F27" s="55">
        <f t="shared" si="9"/>
        <v>0.751</v>
      </c>
      <c r="G27" s="55">
        <f t="shared" si="9"/>
        <v>0.68300000000000005</v>
      </c>
      <c r="H27" s="55">
        <f t="shared" si="9"/>
        <v>0.621</v>
      </c>
      <c r="I27" s="55">
        <f t="shared" si="9"/>
        <v>0.56499999999999995</v>
      </c>
      <c r="J27" s="55">
        <f t="shared" si="9"/>
        <v>0.51400000000000001</v>
      </c>
      <c r="K27" s="55">
        <f t="shared" si="9"/>
        <v>0.46700000000000003</v>
      </c>
      <c r="L27" s="55">
        <f t="shared" si="9"/>
        <v>0.42499999999999999</v>
      </c>
      <c r="M27" s="55">
        <f t="shared" si="9"/>
        <v>0.38600000000000001</v>
      </c>
      <c r="N27" s="55">
        <f t="shared" si="9"/>
        <v>0.35099999999999998</v>
      </c>
      <c r="O27" s="55">
        <f t="shared" si="9"/>
        <v>0.31900000000000001</v>
      </c>
      <c r="P27" s="55">
        <f t="shared" si="9"/>
        <v>0.28999999999999998</v>
      </c>
      <c r="Q27" s="55">
        <f t="shared" si="9"/>
        <v>0.26400000000000001</v>
      </c>
      <c r="R27" s="55">
        <f t="shared" si="9"/>
        <v>0.24</v>
      </c>
      <c r="S27" s="55">
        <f t="shared" si="9"/>
        <v>0.218</v>
      </c>
      <c r="T27" s="55">
        <f t="shared" si="9"/>
        <v>0.19800000000000001</v>
      </c>
      <c r="U27" s="55">
        <f t="shared" si="9"/>
        <v>0.18</v>
      </c>
      <c r="V27" s="55">
        <f t="shared" si="9"/>
        <v>0.16400000000000001</v>
      </c>
      <c r="W27" s="55">
        <f t="shared" si="9"/>
        <v>0.14899999999999999</v>
      </c>
      <c r="X27" s="55">
        <f t="shared" si="9"/>
        <v>0.13500000000000001</v>
      </c>
      <c r="Y27" s="55">
        <f t="shared" si="9"/>
        <v>0.123</v>
      </c>
      <c r="Z27" s="55">
        <f t="shared" si="9"/>
        <v>0.112</v>
      </c>
      <c r="AA27" s="55">
        <f t="shared" si="9"/>
        <v>0.10199999999999999</v>
      </c>
      <c r="AB27" s="55"/>
      <c r="AC27" s="61"/>
      <c r="AD27" s="28"/>
    </row>
    <row r="28" spans="2:30" ht="17" thickBot="1">
      <c r="B28" s="114" t="s">
        <v>35</v>
      </c>
      <c r="C28" s="52">
        <f>C26*C27</f>
        <v>-6786.7346783866706</v>
      </c>
      <c r="D28" s="52">
        <f>D26*D27</f>
        <v>1011.8780471628939</v>
      </c>
      <c r="E28" s="52">
        <f>E26*E27</f>
        <v>928.0979525150907</v>
      </c>
      <c r="F28" s="52">
        <f>F26*F27</f>
        <v>830.15758379915974</v>
      </c>
      <c r="G28" s="52">
        <f>G26*G27</f>
        <v>738.17602281048119</v>
      </c>
      <c r="H28" s="52">
        <f t="shared" ref="H28:AA28" si="10">H26*H27</f>
        <v>671.16736481011526</v>
      </c>
      <c r="I28" s="52">
        <f t="shared" si="10"/>
        <v>610.64341564849451</v>
      </c>
      <c r="J28" s="52">
        <f t="shared" si="10"/>
        <v>555.52339051916147</v>
      </c>
      <c r="K28" s="52">
        <f t="shared" si="10"/>
        <v>504.72650461565837</v>
      </c>
      <c r="L28" s="52">
        <f t="shared" si="10"/>
        <v>459.33354274444281</v>
      </c>
      <c r="M28" s="52">
        <f t="shared" si="10"/>
        <v>417.18293529259984</v>
      </c>
      <c r="N28" s="52">
        <f t="shared" si="10"/>
        <v>379.35546706658687</v>
      </c>
      <c r="O28" s="52">
        <f t="shared" si="10"/>
        <v>344.77035325994649</v>
      </c>
      <c r="P28" s="52">
        <f t="shared" si="10"/>
        <v>313.42759387267864</v>
      </c>
      <c r="Q28" s="52">
        <f t="shared" si="10"/>
        <v>285.32718890478333</v>
      </c>
      <c r="R28" s="52">
        <f t="shared" si="10"/>
        <v>259.38835354980301</v>
      </c>
      <c r="S28" s="52">
        <f t="shared" si="10"/>
        <v>235.61108780773773</v>
      </c>
      <c r="T28" s="52">
        <f t="shared" si="10"/>
        <v>213.99539167858751</v>
      </c>
      <c r="U28" s="52">
        <f t="shared" si="10"/>
        <v>194.54126516235226</v>
      </c>
      <c r="V28" s="52">
        <f t="shared" si="10"/>
        <v>177.24870825903207</v>
      </c>
      <c r="W28" s="52">
        <f t="shared" si="10"/>
        <v>161.03693616216935</v>
      </c>
      <c r="X28" s="52">
        <f t="shared" si="10"/>
        <v>145.9059488717642</v>
      </c>
      <c r="Y28" s="52">
        <f t="shared" si="10"/>
        <v>132.93653119427404</v>
      </c>
      <c r="Z28" s="52">
        <f t="shared" si="10"/>
        <v>121.04789832324141</v>
      </c>
      <c r="AA28" s="52">
        <f t="shared" si="10"/>
        <v>110.24005025866627</v>
      </c>
      <c r="AB28" s="52"/>
      <c r="AC28" s="62">
        <f>SUM(C28:AB28)</f>
        <v>3014.9848559030497</v>
      </c>
      <c r="AD28" s="28"/>
    </row>
    <row r="29" spans="2:30" ht="16" thickTop="1"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</row>
    <row r="30" spans="2:30"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</row>
    <row r="31" spans="2:30" ht="16" thickBot="1"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</row>
    <row r="32" spans="2:30" ht="16" thickTop="1">
      <c r="C32" s="53" t="s">
        <v>21</v>
      </c>
      <c r="D32" s="53" t="s">
        <v>22</v>
      </c>
      <c r="E32" s="53" t="s">
        <v>23</v>
      </c>
      <c r="F32" s="53" t="s">
        <v>24</v>
      </c>
      <c r="G32" s="53" t="s">
        <v>25</v>
      </c>
      <c r="H32" s="29" t="s">
        <v>123</v>
      </c>
      <c r="I32" s="29" t="s">
        <v>124</v>
      </c>
      <c r="J32" s="29" t="s">
        <v>125</v>
      </c>
      <c r="K32" s="29" t="s">
        <v>126</v>
      </c>
      <c r="L32" s="29" t="s">
        <v>127</v>
      </c>
      <c r="M32" s="29" t="s">
        <v>128</v>
      </c>
      <c r="N32" s="29" t="s">
        <v>129</v>
      </c>
      <c r="O32" s="29" t="s">
        <v>130</v>
      </c>
      <c r="P32" s="29" t="s">
        <v>131</v>
      </c>
      <c r="Q32" s="29" t="s">
        <v>132</v>
      </c>
      <c r="R32" s="29" t="s">
        <v>133</v>
      </c>
      <c r="S32" s="29" t="s">
        <v>134</v>
      </c>
      <c r="T32" s="29" t="s">
        <v>135</v>
      </c>
      <c r="U32" s="29" t="s">
        <v>136</v>
      </c>
      <c r="V32" s="29" t="s">
        <v>137</v>
      </c>
      <c r="W32" s="29" t="s">
        <v>138</v>
      </c>
      <c r="X32" s="29" t="s">
        <v>139</v>
      </c>
      <c r="Y32" s="29" t="s">
        <v>140</v>
      </c>
      <c r="Z32" s="29" t="s">
        <v>141</v>
      </c>
      <c r="AA32" s="29" t="s">
        <v>142</v>
      </c>
      <c r="AB32" s="53"/>
      <c r="AC32" s="57" t="s">
        <v>34</v>
      </c>
      <c r="AD32" s="28"/>
    </row>
    <row r="33" spans="2:30" ht="46.5" customHeight="1">
      <c r="B33" s="94" t="str">
        <f>'2. Standing data'!C15</f>
        <v xml:space="preserve">LNWH DC &amp; IP + NWL IP </v>
      </c>
      <c r="C33" s="95" t="s">
        <v>26</v>
      </c>
      <c r="D33" s="95" t="s">
        <v>26</v>
      </c>
      <c r="E33" s="95" t="s">
        <v>26</v>
      </c>
      <c r="F33" s="95" t="s">
        <v>26</v>
      </c>
      <c r="G33" s="95" t="s">
        <v>26</v>
      </c>
      <c r="H33" s="30" t="s">
        <v>26</v>
      </c>
      <c r="I33" s="30" t="s">
        <v>26</v>
      </c>
      <c r="J33" s="30" t="s">
        <v>26</v>
      </c>
      <c r="K33" s="30" t="s">
        <v>26</v>
      </c>
      <c r="L33" s="30" t="s">
        <v>26</v>
      </c>
      <c r="M33" s="30" t="s">
        <v>26</v>
      </c>
      <c r="N33" s="30" t="s">
        <v>26</v>
      </c>
      <c r="O33" s="30" t="s">
        <v>26</v>
      </c>
      <c r="P33" s="30" t="s">
        <v>26</v>
      </c>
      <c r="Q33" s="30" t="s">
        <v>26</v>
      </c>
      <c r="R33" s="30" t="s">
        <v>26</v>
      </c>
      <c r="S33" s="30" t="s">
        <v>26</v>
      </c>
      <c r="T33" s="30" t="s">
        <v>26</v>
      </c>
      <c r="U33" s="30" t="s">
        <v>26</v>
      </c>
      <c r="V33" s="30" t="s">
        <v>26</v>
      </c>
      <c r="W33" s="30" t="s">
        <v>26</v>
      </c>
      <c r="X33" s="30" t="s">
        <v>26</v>
      </c>
      <c r="Y33" s="30" t="s">
        <v>26</v>
      </c>
      <c r="Z33" s="30" t="s">
        <v>26</v>
      </c>
      <c r="AA33" s="30" t="s">
        <v>26</v>
      </c>
      <c r="AB33" s="95"/>
      <c r="AC33" s="96" t="s">
        <v>26</v>
      </c>
      <c r="AD33" s="28"/>
    </row>
    <row r="34" spans="2:30" ht="16">
      <c r="B34" s="110" t="s">
        <v>37</v>
      </c>
      <c r="C34" s="28">
        <f>-'4. Revenue'!AA67</f>
        <v>482.61236366001685</v>
      </c>
      <c r="D34" s="28">
        <f>-'4. Revenue'!AB67</f>
        <v>4773.6412766384674</v>
      </c>
      <c r="E34" s="28">
        <f>-'4. Revenue'!AC67</f>
        <v>4946.840438896078</v>
      </c>
      <c r="F34" s="28">
        <f>-'4. Revenue'!AD67</f>
        <v>5093.2516514791068</v>
      </c>
      <c r="G34" s="28">
        <f>-'4. Revenue'!AE67</f>
        <v>5217.2682211832234</v>
      </c>
      <c r="H34" s="28">
        <f>G34+(G34-F34)</f>
        <v>5341.28479088734</v>
      </c>
      <c r="I34" s="28">
        <f>H34-(68*7)</f>
        <v>4865.28479088734</v>
      </c>
      <c r="J34" s="28">
        <f t="shared" ref="J34:AA34" si="11">I34</f>
        <v>4865.28479088734</v>
      </c>
      <c r="K34" s="28">
        <f t="shared" si="11"/>
        <v>4865.28479088734</v>
      </c>
      <c r="L34" s="28">
        <f t="shared" si="11"/>
        <v>4865.28479088734</v>
      </c>
      <c r="M34" s="28">
        <f t="shared" si="11"/>
        <v>4865.28479088734</v>
      </c>
      <c r="N34" s="28">
        <f t="shared" si="11"/>
        <v>4865.28479088734</v>
      </c>
      <c r="O34" s="28">
        <f t="shared" si="11"/>
        <v>4865.28479088734</v>
      </c>
      <c r="P34" s="28">
        <f t="shared" si="11"/>
        <v>4865.28479088734</v>
      </c>
      <c r="Q34" s="28">
        <f t="shared" si="11"/>
        <v>4865.28479088734</v>
      </c>
      <c r="R34" s="28">
        <f t="shared" si="11"/>
        <v>4865.28479088734</v>
      </c>
      <c r="S34" s="28">
        <f t="shared" si="11"/>
        <v>4865.28479088734</v>
      </c>
      <c r="T34" s="28">
        <f t="shared" si="11"/>
        <v>4865.28479088734</v>
      </c>
      <c r="U34" s="28">
        <f t="shared" si="11"/>
        <v>4865.28479088734</v>
      </c>
      <c r="V34" s="28">
        <f t="shared" si="11"/>
        <v>4865.28479088734</v>
      </c>
      <c r="W34" s="28">
        <f t="shared" si="11"/>
        <v>4865.28479088734</v>
      </c>
      <c r="X34" s="28">
        <f t="shared" si="11"/>
        <v>4865.28479088734</v>
      </c>
      <c r="Y34" s="28">
        <f t="shared" si="11"/>
        <v>4865.28479088734</v>
      </c>
      <c r="Z34" s="28">
        <f t="shared" si="11"/>
        <v>4865.28479088734</v>
      </c>
      <c r="AA34" s="28">
        <f t="shared" si="11"/>
        <v>4865.28479088734</v>
      </c>
      <c r="AB34" s="28"/>
      <c r="AC34" s="59">
        <f>SUM(C34:AB34)</f>
        <v>118295.30976960364</v>
      </c>
      <c r="AD34" s="28" t="s">
        <v>43</v>
      </c>
    </row>
    <row r="35" spans="2:30" ht="16">
      <c r="B35" s="110" t="s">
        <v>38</v>
      </c>
      <c r="C35" s="28">
        <f>-'5. Capital'!F49</f>
        <v>-9412.0297320000009</v>
      </c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59">
        <f>SUM(C35:AB35)</f>
        <v>-9412.0297320000009</v>
      </c>
      <c r="AD35" s="28" t="s">
        <v>64</v>
      </c>
    </row>
    <row r="36" spans="2:30" ht="16">
      <c r="B36" s="110" t="s">
        <v>34</v>
      </c>
      <c r="C36" s="52">
        <f>SUM(C34:C35)</f>
        <v>-8929.417368339984</v>
      </c>
      <c r="D36" s="52">
        <f>SUM(D34:D35)</f>
        <v>4773.6412766384674</v>
      </c>
      <c r="E36" s="52">
        <f>SUM(E34:E35)</f>
        <v>4946.840438896078</v>
      </c>
      <c r="F36" s="52">
        <f>SUM(F34:F35)</f>
        <v>5093.2516514791068</v>
      </c>
      <c r="G36" s="52">
        <f>SUM(G34:G35)</f>
        <v>5217.2682211832234</v>
      </c>
      <c r="H36" s="52">
        <f t="shared" ref="H36:AA36" si="12">SUM(H34:H35)</f>
        <v>5341.28479088734</v>
      </c>
      <c r="I36" s="52">
        <f t="shared" si="12"/>
        <v>4865.28479088734</v>
      </c>
      <c r="J36" s="52">
        <f t="shared" si="12"/>
        <v>4865.28479088734</v>
      </c>
      <c r="K36" s="52">
        <f t="shared" si="12"/>
        <v>4865.28479088734</v>
      </c>
      <c r="L36" s="52">
        <f t="shared" si="12"/>
        <v>4865.28479088734</v>
      </c>
      <c r="M36" s="52">
        <f t="shared" si="12"/>
        <v>4865.28479088734</v>
      </c>
      <c r="N36" s="52">
        <f t="shared" si="12"/>
        <v>4865.28479088734</v>
      </c>
      <c r="O36" s="52">
        <f t="shared" si="12"/>
        <v>4865.28479088734</v>
      </c>
      <c r="P36" s="52">
        <f t="shared" si="12"/>
        <v>4865.28479088734</v>
      </c>
      <c r="Q36" s="52">
        <f t="shared" si="12"/>
        <v>4865.28479088734</v>
      </c>
      <c r="R36" s="52">
        <f t="shared" si="12"/>
        <v>4865.28479088734</v>
      </c>
      <c r="S36" s="52">
        <f t="shared" si="12"/>
        <v>4865.28479088734</v>
      </c>
      <c r="T36" s="52">
        <f t="shared" si="12"/>
        <v>4865.28479088734</v>
      </c>
      <c r="U36" s="52">
        <f t="shared" si="12"/>
        <v>4865.28479088734</v>
      </c>
      <c r="V36" s="52">
        <f t="shared" si="12"/>
        <v>4865.28479088734</v>
      </c>
      <c r="W36" s="52">
        <f t="shared" si="12"/>
        <v>4865.28479088734</v>
      </c>
      <c r="X36" s="52">
        <f t="shared" si="12"/>
        <v>4865.28479088734</v>
      </c>
      <c r="Y36" s="52">
        <f t="shared" si="12"/>
        <v>4865.28479088734</v>
      </c>
      <c r="Z36" s="52">
        <f t="shared" si="12"/>
        <v>4865.28479088734</v>
      </c>
      <c r="AA36" s="52">
        <f t="shared" si="12"/>
        <v>4865.28479088734</v>
      </c>
      <c r="AB36" s="52"/>
      <c r="AC36" s="60">
        <f>SUM(C36:AB36)</f>
        <v>108883.28003760366</v>
      </c>
      <c r="AD36" s="28"/>
    </row>
    <row r="37" spans="2:30" ht="16">
      <c r="B37" s="110" t="s">
        <v>234</v>
      </c>
      <c r="C37" s="55">
        <v>1</v>
      </c>
      <c r="D37" s="55">
        <f t="shared" ref="D37:AA37" si="13">ROUND(C37/1.1,3)</f>
        <v>0.90900000000000003</v>
      </c>
      <c r="E37" s="55">
        <f t="shared" si="13"/>
        <v>0.82599999999999996</v>
      </c>
      <c r="F37" s="55">
        <f t="shared" si="13"/>
        <v>0.751</v>
      </c>
      <c r="G37" s="55">
        <f t="shared" si="13"/>
        <v>0.68300000000000005</v>
      </c>
      <c r="H37" s="55">
        <f t="shared" si="13"/>
        <v>0.621</v>
      </c>
      <c r="I37" s="55">
        <f t="shared" si="13"/>
        <v>0.56499999999999995</v>
      </c>
      <c r="J37" s="55">
        <f t="shared" si="13"/>
        <v>0.51400000000000001</v>
      </c>
      <c r="K37" s="55">
        <f t="shared" si="13"/>
        <v>0.46700000000000003</v>
      </c>
      <c r="L37" s="55">
        <f t="shared" si="13"/>
        <v>0.42499999999999999</v>
      </c>
      <c r="M37" s="55">
        <f t="shared" si="13"/>
        <v>0.38600000000000001</v>
      </c>
      <c r="N37" s="55">
        <f t="shared" si="13"/>
        <v>0.35099999999999998</v>
      </c>
      <c r="O37" s="55">
        <f t="shared" si="13"/>
        <v>0.31900000000000001</v>
      </c>
      <c r="P37" s="55">
        <f t="shared" si="13"/>
        <v>0.28999999999999998</v>
      </c>
      <c r="Q37" s="55">
        <f t="shared" si="13"/>
        <v>0.26400000000000001</v>
      </c>
      <c r="R37" s="55">
        <f t="shared" si="13"/>
        <v>0.24</v>
      </c>
      <c r="S37" s="55">
        <f t="shared" si="13"/>
        <v>0.218</v>
      </c>
      <c r="T37" s="55">
        <f t="shared" si="13"/>
        <v>0.19800000000000001</v>
      </c>
      <c r="U37" s="55">
        <f t="shared" si="13"/>
        <v>0.18</v>
      </c>
      <c r="V37" s="55">
        <f t="shared" si="13"/>
        <v>0.16400000000000001</v>
      </c>
      <c r="W37" s="55">
        <f t="shared" si="13"/>
        <v>0.14899999999999999</v>
      </c>
      <c r="X37" s="55">
        <f t="shared" si="13"/>
        <v>0.13500000000000001</v>
      </c>
      <c r="Y37" s="55">
        <f t="shared" si="13"/>
        <v>0.123</v>
      </c>
      <c r="Z37" s="55">
        <f t="shared" si="13"/>
        <v>0.112</v>
      </c>
      <c r="AA37" s="55">
        <f t="shared" si="13"/>
        <v>0.10199999999999999</v>
      </c>
      <c r="AB37" s="55"/>
      <c r="AC37" s="61"/>
      <c r="AD37" s="28"/>
    </row>
    <row r="38" spans="2:30" ht="17" thickBot="1">
      <c r="B38" s="114" t="s">
        <v>35</v>
      </c>
      <c r="C38" s="52">
        <f>C36*C37</f>
        <v>-8929.417368339984</v>
      </c>
      <c r="D38" s="52">
        <f t="shared" ref="D38" si="14">D36*D37</f>
        <v>4339.2399204643671</v>
      </c>
      <c r="E38" s="52">
        <f t="shared" ref="E38" si="15">E36*E37</f>
        <v>4086.0902025281603</v>
      </c>
      <c r="F38" s="52">
        <f t="shared" ref="F38:G38" si="16">F36*F37</f>
        <v>3825.0319902608094</v>
      </c>
      <c r="G38" s="52">
        <f t="shared" si="16"/>
        <v>3563.3941950681419</v>
      </c>
      <c r="H38" s="52">
        <f t="shared" ref="H38:AA38" si="17">H36*H37</f>
        <v>3316.9378551410382</v>
      </c>
      <c r="I38" s="52">
        <f t="shared" si="17"/>
        <v>2748.885906851347</v>
      </c>
      <c r="J38" s="52">
        <f t="shared" si="17"/>
        <v>2500.7563825160928</v>
      </c>
      <c r="K38" s="52">
        <f t="shared" si="17"/>
        <v>2272.087997344388</v>
      </c>
      <c r="L38" s="52">
        <f t="shared" si="17"/>
        <v>2067.7460361271196</v>
      </c>
      <c r="M38" s="52">
        <f t="shared" si="17"/>
        <v>1877.9999292825132</v>
      </c>
      <c r="N38" s="52">
        <f t="shared" si="17"/>
        <v>1707.7149616014563</v>
      </c>
      <c r="O38" s="52">
        <f t="shared" si="17"/>
        <v>1552.0258482930615</v>
      </c>
      <c r="P38" s="52">
        <f t="shared" si="17"/>
        <v>1410.9325893573284</v>
      </c>
      <c r="Q38" s="52">
        <f t="shared" si="17"/>
        <v>1284.4351847942578</v>
      </c>
      <c r="R38" s="52">
        <f t="shared" si="17"/>
        <v>1167.6683498129617</v>
      </c>
      <c r="S38" s="52">
        <f t="shared" si="17"/>
        <v>1060.6320844134402</v>
      </c>
      <c r="T38" s="52">
        <f t="shared" si="17"/>
        <v>963.3263885956934</v>
      </c>
      <c r="U38" s="52">
        <f t="shared" si="17"/>
        <v>875.75126235972118</v>
      </c>
      <c r="V38" s="52">
        <f t="shared" si="17"/>
        <v>797.90670570552379</v>
      </c>
      <c r="W38" s="52">
        <f t="shared" si="17"/>
        <v>724.92743384221365</v>
      </c>
      <c r="X38" s="52">
        <f t="shared" si="17"/>
        <v>656.81344676979097</v>
      </c>
      <c r="Y38" s="52">
        <f t="shared" si="17"/>
        <v>598.43002927914279</v>
      </c>
      <c r="Z38" s="52">
        <f t="shared" si="17"/>
        <v>544.91189657938207</v>
      </c>
      <c r="AA38" s="52">
        <f t="shared" si="17"/>
        <v>496.25904867050866</v>
      </c>
      <c r="AB38" s="52"/>
      <c r="AC38" s="62">
        <f>SUM(C38:AB38)</f>
        <v>35510.488277318473</v>
      </c>
      <c r="AD38" s="28"/>
    </row>
    <row r="39" spans="2:30" ht="16" thickTop="1"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</row>
    <row r="40" spans="2:30"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</row>
    <row r="41" spans="2:30" ht="16" thickBot="1"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</row>
    <row r="42" spans="2:30" ht="17" thickTop="1">
      <c r="B42" s="110" t="str">
        <f>'2. Standing data'!B16</f>
        <v xml:space="preserve">Option Six </v>
      </c>
      <c r="C42" s="53" t="s">
        <v>21</v>
      </c>
      <c r="D42" s="53" t="s">
        <v>22</v>
      </c>
      <c r="E42" s="53" t="s">
        <v>23</v>
      </c>
      <c r="F42" s="53" t="s">
        <v>24</v>
      </c>
      <c r="G42" s="53" t="s">
        <v>25</v>
      </c>
      <c r="H42" s="29" t="s">
        <v>123</v>
      </c>
      <c r="I42" s="29" t="s">
        <v>124</v>
      </c>
      <c r="J42" s="29" t="s">
        <v>125</v>
      </c>
      <c r="K42" s="29" t="s">
        <v>126</v>
      </c>
      <c r="L42" s="29" t="s">
        <v>127</v>
      </c>
      <c r="M42" s="29" t="s">
        <v>128</v>
      </c>
      <c r="N42" s="29" t="s">
        <v>129</v>
      </c>
      <c r="O42" s="29" t="s">
        <v>130</v>
      </c>
      <c r="P42" s="29" t="s">
        <v>131</v>
      </c>
      <c r="Q42" s="29" t="s">
        <v>132</v>
      </c>
      <c r="R42" s="29" t="s">
        <v>133</v>
      </c>
      <c r="S42" s="29" t="s">
        <v>134</v>
      </c>
      <c r="T42" s="29" t="s">
        <v>135</v>
      </c>
      <c r="U42" s="29" t="s">
        <v>136</v>
      </c>
      <c r="V42" s="29" t="s">
        <v>137</v>
      </c>
      <c r="W42" s="29" t="s">
        <v>138</v>
      </c>
      <c r="X42" s="29" t="s">
        <v>139</v>
      </c>
      <c r="Y42" s="29" t="s">
        <v>140</v>
      </c>
      <c r="Z42" s="29" t="s">
        <v>141</v>
      </c>
      <c r="AA42" s="29" t="s">
        <v>142</v>
      </c>
      <c r="AB42" s="53"/>
      <c r="AC42" s="57" t="s">
        <v>34</v>
      </c>
      <c r="AD42" s="28"/>
    </row>
    <row r="43" spans="2:30" ht="16">
      <c r="B43" s="94" t="str">
        <f>'2. Standing data'!C16</f>
        <v xml:space="preserve">LNWH DC &amp; IP + NWL DC &amp; IP </v>
      </c>
      <c r="C43" s="54" t="s">
        <v>26</v>
      </c>
      <c r="D43" s="54" t="s">
        <v>26</v>
      </c>
      <c r="E43" s="54" t="s">
        <v>26</v>
      </c>
      <c r="F43" s="54" t="s">
        <v>26</v>
      </c>
      <c r="G43" s="54" t="s">
        <v>26</v>
      </c>
      <c r="H43" s="30" t="s">
        <v>26</v>
      </c>
      <c r="I43" s="30" t="s">
        <v>26</v>
      </c>
      <c r="J43" s="30" t="s">
        <v>26</v>
      </c>
      <c r="K43" s="30" t="s">
        <v>26</v>
      </c>
      <c r="L43" s="30" t="s">
        <v>26</v>
      </c>
      <c r="M43" s="30" t="s">
        <v>26</v>
      </c>
      <c r="N43" s="30" t="s">
        <v>26</v>
      </c>
      <c r="O43" s="30" t="s">
        <v>26</v>
      </c>
      <c r="P43" s="30" t="s">
        <v>26</v>
      </c>
      <c r="Q43" s="30" t="s">
        <v>26</v>
      </c>
      <c r="R43" s="30" t="s">
        <v>26</v>
      </c>
      <c r="S43" s="30" t="s">
        <v>26</v>
      </c>
      <c r="T43" s="30" t="s">
        <v>26</v>
      </c>
      <c r="U43" s="30" t="s">
        <v>26</v>
      </c>
      <c r="V43" s="30" t="s">
        <v>26</v>
      </c>
      <c r="W43" s="30" t="s">
        <v>26</v>
      </c>
      <c r="X43" s="30" t="s">
        <v>26</v>
      </c>
      <c r="Y43" s="30" t="s">
        <v>26</v>
      </c>
      <c r="Z43" s="30" t="s">
        <v>26</v>
      </c>
      <c r="AA43" s="30" t="s">
        <v>26</v>
      </c>
      <c r="AB43" s="54"/>
      <c r="AC43" s="58" t="s">
        <v>26</v>
      </c>
      <c r="AD43" s="28"/>
    </row>
    <row r="44" spans="2:30" ht="16">
      <c r="B44" s="110" t="s">
        <v>37</v>
      </c>
      <c r="C44" s="28">
        <f>-'4. Revenue'!AG67</f>
        <v>-1557.7414415468425</v>
      </c>
      <c r="D44" s="28">
        <f>-'4. Revenue'!AH67</f>
        <v>3778.8512618405557</v>
      </c>
      <c r="E44" s="28">
        <f>-'4. Revenue'!AI67</f>
        <v>3789.4277540287176</v>
      </c>
      <c r="F44" s="28">
        <f>-'4. Revenue'!AJ67</f>
        <v>3750.5449980448338</v>
      </c>
      <c r="G44" s="28">
        <f>-'4. Revenue'!AQ67</f>
        <v>4911.469525093632</v>
      </c>
      <c r="H44" s="28">
        <f t="shared" ref="H44:AA44" si="18">G44</f>
        <v>4911.469525093632</v>
      </c>
      <c r="I44" s="28">
        <f t="shared" si="18"/>
        <v>4911.469525093632</v>
      </c>
      <c r="J44" s="28">
        <f t="shared" si="18"/>
        <v>4911.469525093632</v>
      </c>
      <c r="K44" s="28">
        <f t="shared" si="18"/>
        <v>4911.469525093632</v>
      </c>
      <c r="L44" s="28">
        <f t="shared" si="18"/>
        <v>4911.469525093632</v>
      </c>
      <c r="M44" s="28">
        <f t="shared" si="18"/>
        <v>4911.469525093632</v>
      </c>
      <c r="N44" s="28">
        <f t="shared" si="18"/>
        <v>4911.469525093632</v>
      </c>
      <c r="O44" s="28">
        <f t="shared" si="18"/>
        <v>4911.469525093632</v>
      </c>
      <c r="P44" s="28">
        <f t="shared" si="18"/>
        <v>4911.469525093632</v>
      </c>
      <c r="Q44" s="28">
        <f t="shared" si="18"/>
        <v>4911.469525093632</v>
      </c>
      <c r="R44" s="28">
        <f t="shared" si="18"/>
        <v>4911.469525093632</v>
      </c>
      <c r="S44" s="28">
        <f t="shared" si="18"/>
        <v>4911.469525093632</v>
      </c>
      <c r="T44" s="28">
        <f t="shared" si="18"/>
        <v>4911.469525093632</v>
      </c>
      <c r="U44" s="28">
        <f t="shared" si="18"/>
        <v>4911.469525093632</v>
      </c>
      <c r="V44" s="28">
        <f t="shared" si="18"/>
        <v>4911.469525093632</v>
      </c>
      <c r="W44" s="28">
        <f t="shared" si="18"/>
        <v>4911.469525093632</v>
      </c>
      <c r="X44" s="28">
        <f t="shared" si="18"/>
        <v>4911.469525093632</v>
      </c>
      <c r="Y44" s="28">
        <f t="shared" si="18"/>
        <v>4911.469525093632</v>
      </c>
      <c r="Z44" s="28">
        <f t="shared" si="18"/>
        <v>4911.469525093632</v>
      </c>
      <c r="AA44" s="28">
        <f t="shared" si="18"/>
        <v>4911.469525093632</v>
      </c>
      <c r="AB44" s="28"/>
      <c r="AC44" s="59">
        <f>SUM(C44:AB44)</f>
        <v>112901.94259933358</v>
      </c>
      <c r="AD44" s="28" t="s">
        <v>43</v>
      </c>
    </row>
    <row r="45" spans="2:30" ht="16">
      <c r="B45" s="110" t="s">
        <v>38</v>
      </c>
      <c r="C45" s="28">
        <f>-'5. Capital'!F64</f>
        <v>-18246.859464000001</v>
      </c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59">
        <f>SUM(C45:AB45)</f>
        <v>-18246.859464000001</v>
      </c>
      <c r="AD45" s="28" t="s">
        <v>64</v>
      </c>
    </row>
    <row r="46" spans="2:30" ht="16">
      <c r="B46" s="110" t="s">
        <v>34</v>
      </c>
      <c r="C46" s="52">
        <f>SUM(C44:C45)</f>
        <v>-19804.600905546842</v>
      </c>
      <c r="D46" s="52">
        <f>SUM(D44:D45)</f>
        <v>3778.8512618405557</v>
      </c>
      <c r="E46" s="52">
        <f>SUM(E44:E45)</f>
        <v>3789.4277540287176</v>
      </c>
      <c r="F46" s="52">
        <f>SUM(F44:F45)</f>
        <v>3750.5449980448338</v>
      </c>
      <c r="G46" s="52">
        <f>SUM(G44:G45)</f>
        <v>4911.469525093632</v>
      </c>
      <c r="H46" s="52">
        <f t="shared" ref="H46:AA46" si="19">SUM(H44:H45)</f>
        <v>4911.469525093632</v>
      </c>
      <c r="I46" s="52">
        <f t="shared" si="19"/>
        <v>4911.469525093632</v>
      </c>
      <c r="J46" s="52">
        <f t="shared" si="19"/>
        <v>4911.469525093632</v>
      </c>
      <c r="K46" s="52">
        <f t="shared" si="19"/>
        <v>4911.469525093632</v>
      </c>
      <c r="L46" s="52">
        <f t="shared" si="19"/>
        <v>4911.469525093632</v>
      </c>
      <c r="M46" s="52">
        <f t="shared" si="19"/>
        <v>4911.469525093632</v>
      </c>
      <c r="N46" s="52">
        <f t="shared" si="19"/>
        <v>4911.469525093632</v>
      </c>
      <c r="O46" s="52">
        <f t="shared" si="19"/>
        <v>4911.469525093632</v>
      </c>
      <c r="P46" s="52">
        <f t="shared" si="19"/>
        <v>4911.469525093632</v>
      </c>
      <c r="Q46" s="52">
        <f t="shared" si="19"/>
        <v>4911.469525093632</v>
      </c>
      <c r="R46" s="52">
        <f t="shared" si="19"/>
        <v>4911.469525093632</v>
      </c>
      <c r="S46" s="52">
        <f t="shared" si="19"/>
        <v>4911.469525093632</v>
      </c>
      <c r="T46" s="52">
        <f t="shared" si="19"/>
        <v>4911.469525093632</v>
      </c>
      <c r="U46" s="52">
        <f t="shared" si="19"/>
        <v>4911.469525093632</v>
      </c>
      <c r="V46" s="52">
        <f t="shared" si="19"/>
        <v>4911.469525093632</v>
      </c>
      <c r="W46" s="52">
        <f t="shared" si="19"/>
        <v>4911.469525093632</v>
      </c>
      <c r="X46" s="52">
        <f t="shared" si="19"/>
        <v>4911.469525093632</v>
      </c>
      <c r="Y46" s="52">
        <f t="shared" si="19"/>
        <v>4911.469525093632</v>
      </c>
      <c r="Z46" s="52">
        <f t="shared" si="19"/>
        <v>4911.469525093632</v>
      </c>
      <c r="AA46" s="52">
        <f t="shared" si="19"/>
        <v>4911.469525093632</v>
      </c>
      <c r="AB46" s="52"/>
      <c r="AC46" s="60">
        <f>SUM(C46:AB46)</f>
        <v>94655.083135333567</v>
      </c>
      <c r="AD46" s="28"/>
    </row>
    <row r="47" spans="2:30" ht="16">
      <c r="B47" s="110" t="s">
        <v>234</v>
      </c>
      <c r="C47" s="55">
        <v>1</v>
      </c>
      <c r="D47" s="55">
        <f t="shared" ref="D47:AA47" si="20">ROUND(C47/1.1,3)</f>
        <v>0.90900000000000003</v>
      </c>
      <c r="E47" s="55">
        <f t="shared" si="20"/>
        <v>0.82599999999999996</v>
      </c>
      <c r="F47" s="55">
        <f t="shared" si="20"/>
        <v>0.751</v>
      </c>
      <c r="G47" s="55">
        <f t="shared" si="20"/>
        <v>0.68300000000000005</v>
      </c>
      <c r="H47" s="55">
        <f t="shared" si="20"/>
        <v>0.621</v>
      </c>
      <c r="I47" s="55">
        <f t="shared" si="20"/>
        <v>0.56499999999999995</v>
      </c>
      <c r="J47" s="55">
        <f t="shared" si="20"/>
        <v>0.51400000000000001</v>
      </c>
      <c r="K47" s="55">
        <f t="shared" si="20"/>
        <v>0.46700000000000003</v>
      </c>
      <c r="L47" s="55">
        <f t="shared" si="20"/>
        <v>0.42499999999999999</v>
      </c>
      <c r="M47" s="55">
        <f t="shared" si="20"/>
        <v>0.38600000000000001</v>
      </c>
      <c r="N47" s="55">
        <f t="shared" si="20"/>
        <v>0.35099999999999998</v>
      </c>
      <c r="O47" s="55">
        <f t="shared" si="20"/>
        <v>0.31900000000000001</v>
      </c>
      <c r="P47" s="55">
        <f t="shared" si="20"/>
        <v>0.28999999999999998</v>
      </c>
      <c r="Q47" s="55">
        <f t="shared" si="20"/>
        <v>0.26400000000000001</v>
      </c>
      <c r="R47" s="55">
        <f t="shared" si="20"/>
        <v>0.24</v>
      </c>
      <c r="S47" s="55">
        <f t="shared" si="20"/>
        <v>0.218</v>
      </c>
      <c r="T47" s="55">
        <f t="shared" si="20"/>
        <v>0.19800000000000001</v>
      </c>
      <c r="U47" s="55">
        <f t="shared" si="20"/>
        <v>0.18</v>
      </c>
      <c r="V47" s="55">
        <f t="shared" si="20"/>
        <v>0.16400000000000001</v>
      </c>
      <c r="W47" s="55">
        <f t="shared" si="20"/>
        <v>0.14899999999999999</v>
      </c>
      <c r="X47" s="55">
        <f t="shared" si="20"/>
        <v>0.13500000000000001</v>
      </c>
      <c r="Y47" s="55">
        <f t="shared" si="20"/>
        <v>0.123</v>
      </c>
      <c r="Z47" s="55">
        <f t="shared" si="20"/>
        <v>0.112</v>
      </c>
      <c r="AA47" s="55">
        <f t="shared" si="20"/>
        <v>0.10199999999999999</v>
      </c>
      <c r="AB47" s="55"/>
      <c r="AC47" s="61"/>
      <c r="AD47" s="28"/>
    </row>
    <row r="48" spans="2:30" ht="17" thickBot="1">
      <c r="B48" s="114" t="s">
        <v>35</v>
      </c>
      <c r="C48" s="52">
        <f>C46*C47</f>
        <v>-19804.600905546842</v>
      </c>
      <c r="D48" s="52">
        <f t="shared" ref="D48" si="21">D46*D47</f>
        <v>3434.9757970130654</v>
      </c>
      <c r="E48" s="52">
        <f t="shared" ref="E48" si="22">E46*E47</f>
        <v>3130.0673248277208</v>
      </c>
      <c r="F48" s="52">
        <f t="shared" ref="F48:G48" si="23">F46*F47</f>
        <v>2816.6592935316703</v>
      </c>
      <c r="G48" s="52">
        <f t="shared" si="23"/>
        <v>3354.5336856389508</v>
      </c>
      <c r="H48" s="52">
        <f t="shared" ref="H48:AA48" si="24">H46*H47</f>
        <v>3050.0225750831455</v>
      </c>
      <c r="I48" s="52">
        <f t="shared" si="24"/>
        <v>2774.980281677902</v>
      </c>
      <c r="J48" s="52">
        <f t="shared" si="24"/>
        <v>2524.495335898127</v>
      </c>
      <c r="K48" s="52">
        <f t="shared" si="24"/>
        <v>2293.6562682187264</v>
      </c>
      <c r="L48" s="52">
        <f t="shared" si="24"/>
        <v>2087.3745481647934</v>
      </c>
      <c r="M48" s="52">
        <f t="shared" si="24"/>
        <v>1895.827236686142</v>
      </c>
      <c r="N48" s="52">
        <f t="shared" si="24"/>
        <v>1723.9258033078647</v>
      </c>
      <c r="O48" s="52">
        <f t="shared" si="24"/>
        <v>1566.7587785048686</v>
      </c>
      <c r="P48" s="52">
        <f t="shared" si="24"/>
        <v>1424.3261622771531</v>
      </c>
      <c r="Q48" s="52">
        <f t="shared" si="24"/>
        <v>1296.627954624719</v>
      </c>
      <c r="R48" s="52">
        <f t="shared" si="24"/>
        <v>1178.7526860224716</v>
      </c>
      <c r="S48" s="52">
        <f t="shared" si="24"/>
        <v>1070.7003564704119</v>
      </c>
      <c r="T48" s="52">
        <f t="shared" si="24"/>
        <v>972.47096596853919</v>
      </c>
      <c r="U48" s="52">
        <f t="shared" si="24"/>
        <v>884.06451451685371</v>
      </c>
      <c r="V48" s="52">
        <f t="shared" si="24"/>
        <v>805.48100211535564</v>
      </c>
      <c r="W48" s="52">
        <f t="shared" si="24"/>
        <v>731.80895923895116</v>
      </c>
      <c r="X48" s="52">
        <f t="shared" si="24"/>
        <v>663.04838588764039</v>
      </c>
      <c r="Y48" s="52">
        <f t="shared" si="24"/>
        <v>604.1107515865167</v>
      </c>
      <c r="Z48" s="52">
        <f t="shared" si="24"/>
        <v>550.08458681048683</v>
      </c>
      <c r="AA48" s="52">
        <f t="shared" si="24"/>
        <v>500.96989155955043</v>
      </c>
      <c r="AB48" s="52"/>
      <c r="AC48" s="62">
        <f>SUM(C48:AB48)</f>
        <v>21531.122240084784</v>
      </c>
      <c r="AD48" s="28"/>
    </row>
    <row r="49" spans="2:30" ht="16" thickTop="1">
      <c r="C49" s="28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</row>
    <row r="50" spans="2:30">
      <c r="C50" s="28"/>
      <c r="D50" s="28"/>
      <c r="E50" s="28"/>
      <c r="F50" s="28"/>
      <c r="G50" s="28"/>
      <c r="H50" s="28"/>
      <c r="I50" s="28"/>
      <c r="J50" s="28"/>
      <c r="K50" s="28"/>
      <c r="L50" s="28"/>
      <c r="M50" s="28"/>
      <c r="N50" s="28"/>
      <c r="O50" s="28"/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8"/>
      <c r="AC50" s="28"/>
      <c r="AD50" s="28"/>
    </row>
    <row r="51" spans="2:30" ht="16" thickBot="1">
      <c r="C51" s="28"/>
      <c r="D51" s="28"/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</row>
    <row r="52" spans="2:30" ht="17" thickTop="1">
      <c r="B52" s="110" t="str">
        <f>'2. Standing data'!B17</f>
        <v>Option Seven</v>
      </c>
      <c r="C52" s="53" t="s">
        <v>21</v>
      </c>
      <c r="D52" s="53" t="s">
        <v>22</v>
      </c>
      <c r="E52" s="53" t="s">
        <v>23</v>
      </c>
      <c r="F52" s="53" t="s">
        <v>24</v>
      </c>
      <c r="G52" s="53" t="s">
        <v>25</v>
      </c>
      <c r="H52" s="29" t="s">
        <v>123</v>
      </c>
      <c r="I52" s="29" t="s">
        <v>124</v>
      </c>
      <c r="J52" s="29" t="s">
        <v>125</v>
      </c>
      <c r="K52" s="29" t="s">
        <v>126</v>
      </c>
      <c r="L52" s="29" t="s">
        <v>127</v>
      </c>
      <c r="M52" s="29" t="s">
        <v>128</v>
      </c>
      <c r="N52" s="29" t="s">
        <v>129</v>
      </c>
      <c r="O52" s="29" t="s">
        <v>130</v>
      </c>
      <c r="P52" s="29" t="s">
        <v>131</v>
      </c>
      <c r="Q52" s="29" t="s">
        <v>132</v>
      </c>
      <c r="R52" s="29" t="s">
        <v>133</v>
      </c>
      <c r="S52" s="29" t="s">
        <v>134</v>
      </c>
      <c r="T52" s="29" t="s">
        <v>135</v>
      </c>
      <c r="U52" s="29" t="s">
        <v>136</v>
      </c>
      <c r="V52" s="29" t="s">
        <v>137</v>
      </c>
      <c r="W52" s="29" t="s">
        <v>138</v>
      </c>
      <c r="X52" s="29" t="s">
        <v>139</v>
      </c>
      <c r="Y52" s="29" t="s">
        <v>140</v>
      </c>
      <c r="Z52" s="29" t="s">
        <v>141</v>
      </c>
      <c r="AA52" s="29" t="s">
        <v>142</v>
      </c>
      <c r="AB52" s="53"/>
      <c r="AC52" s="57" t="s">
        <v>34</v>
      </c>
      <c r="AD52" s="28"/>
    </row>
    <row r="53" spans="2:30" ht="48">
      <c r="B53" s="94" t="str">
        <f>'2. Standing data'!C17</f>
        <v xml:space="preserve">LNWH DC &amp; IP + NWL IP &amp; DC + NHS IP &amp; DC Cases Treated Privately </v>
      </c>
      <c r="C53" s="54" t="s">
        <v>26</v>
      </c>
      <c r="D53" s="54" t="s">
        <v>26</v>
      </c>
      <c r="E53" s="54" t="s">
        <v>26</v>
      </c>
      <c r="F53" s="54" t="s">
        <v>26</v>
      </c>
      <c r="G53" s="54" t="s">
        <v>26</v>
      </c>
      <c r="H53" s="30" t="s">
        <v>26</v>
      </c>
      <c r="I53" s="30" t="s">
        <v>26</v>
      </c>
      <c r="J53" s="30" t="s">
        <v>26</v>
      </c>
      <c r="K53" s="30" t="s">
        <v>26</v>
      </c>
      <c r="L53" s="30" t="s">
        <v>26</v>
      </c>
      <c r="M53" s="30" t="s">
        <v>26</v>
      </c>
      <c r="N53" s="30" t="s">
        <v>26</v>
      </c>
      <c r="O53" s="30" t="s">
        <v>26</v>
      </c>
      <c r="P53" s="30" t="s">
        <v>26</v>
      </c>
      <c r="Q53" s="30" t="s">
        <v>26</v>
      </c>
      <c r="R53" s="30" t="s">
        <v>26</v>
      </c>
      <c r="S53" s="30" t="s">
        <v>26</v>
      </c>
      <c r="T53" s="30" t="s">
        <v>26</v>
      </c>
      <c r="U53" s="30" t="s">
        <v>26</v>
      </c>
      <c r="V53" s="30" t="s">
        <v>26</v>
      </c>
      <c r="W53" s="30" t="s">
        <v>26</v>
      </c>
      <c r="X53" s="30" t="s">
        <v>26</v>
      </c>
      <c r="Y53" s="30" t="s">
        <v>26</v>
      </c>
      <c r="Z53" s="30" t="s">
        <v>26</v>
      </c>
      <c r="AA53" s="30" t="s">
        <v>26</v>
      </c>
      <c r="AB53" s="54"/>
      <c r="AC53" s="58" t="s">
        <v>26</v>
      </c>
      <c r="AD53" s="28"/>
    </row>
    <row r="54" spans="2:30" ht="16">
      <c r="B54" s="110" t="s">
        <v>37</v>
      </c>
      <c r="C54" s="28">
        <f>-'4. Revenue'!AM67</f>
        <v>-1274.4875072061006</v>
      </c>
      <c r="D54" s="28">
        <f>-'4. Revenue'!AN67</f>
        <v>3873.0657576672029</v>
      </c>
      <c r="E54" s="28">
        <f>-'4. Revenue'!AO67</f>
        <v>4974.0945122844296</v>
      </c>
      <c r="F54" s="28">
        <f>-'4. Revenue'!AP67</f>
        <v>4949.5306343739176</v>
      </c>
      <c r="G54" s="28">
        <f>F54</f>
        <v>4949.5306343739176</v>
      </c>
      <c r="H54" s="28">
        <f t="shared" ref="H54:AA54" si="25">G54</f>
        <v>4949.5306343739176</v>
      </c>
      <c r="I54" s="28">
        <f t="shared" si="25"/>
        <v>4949.5306343739176</v>
      </c>
      <c r="J54" s="28">
        <f t="shared" si="25"/>
        <v>4949.5306343739176</v>
      </c>
      <c r="K54" s="28">
        <f t="shared" si="25"/>
        <v>4949.5306343739176</v>
      </c>
      <c r="L54" s="28">
        <f t="shared" si="25"/>
        <v>4949.5306343739176</v>
      </c>
      <c r="M54" s="28">
        <f t="shared" si="25"/>
        <v>4949.5306343739176</v>
      </c>
      <c r="N54" s="28">
        <f t="shared" si="25"/>
        <v>4949.5306343739176</v>
      </c>
      <c r="O54" s="28">
        <f t="shared" si="25"/>
        <v>4949.5306343739176</v>
      </c>
      <c r="P54" s="28">
        <f t="shared" si="25"/>
        <v>4949.5306343739176</v>
      </c>
      <c r="Q54" s="28">
        <f t="shared" si="25"/>
        <v>4949.5306343739176</v>
      </c>
      <c r="R54" s="28">
        <f t="shared" si="25"/>
        <v>4949.5306343739176</v>
      </c>
      <c r="S54" s="28">
        <f t="shared" si="25"/>
        <v>4949.5306343739176</v>
      </c>
      <c r="T54" s="28">
        <f t="shared" si="25"/>
        <v>4949.5306343739176</v>
      </c>
      <c r="U54" s="28">
        <f t="shared" si="25"/>
        <v>4949.5306343739176</v>
      </c>
      <c r="V54" s="28">
        <f t="shared" si="25"/>
        <v>4949.5306343739176</v>
      </c>
      <c r="W54" s="28">
        <f t="shared" si="25"/>
        <v>4949.5306343739176</v>
      </c>
      <c r="X54" s="28">
        <f t="shared" si="25"/>
        <v>4949.5306343739176</v>
      </c>
      <c r="Y54" s="28">
        <f t="shared" si="25"/>
        <v>4949.5306343739176</v>
      </c>
      <c r="Z54" s="28">
        <f t="shared" si="25"/>
        <v>4949.5306343739176</v>
      </c>
      <c r="AA54" s="28">
        <f t="shared" si="25"/>
        <v>4949.5306343739176</v>
      </c>
      <c r="AB54" s="28"/>
      <c r="AC54" s="59">
        <f>SUM(C54:AB54)</f>
        <v>116462.34671897178</v>
      </c>
      <c r="AD54" s="28" t="s">
        <v>43</v>
      </c>
    </row>
    <row r="55" spans="2:30" ht="16">
      <c r="B55" s="110" t="s">
        <v>38</v>
      </c>
      <c r="C55" s="28">
        <f>-'5. Capital'!F78</f>
        <v>-22664.274330000004</v>
      </c>
      <c r="D55" s="28"/>
      <c r="E55" s="28"/>
      <c r="F55" s="28"/>
      <c r="G55" s="28"/>
      <c r="H55" s="28"/>
      <c r="I55" s="28"/>
      <c r="J55" s="28"/>
      <c r="K55" s="28"/>
      <c r="L55" s="28"/>
      <c r="M55" s="28"/>
      <c r="N55" s="28"/>
      <c r="O55" s="28"/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  <c r="AB55" s="28"/>
      <c r="AC55" s="59">
        <f>SUM(C55:AB55)</f>
        <v>-22664.274330000004</v>
      </c>
      <c r="AD55" s="28" t="s">
        <v>64</v>
      </c>
    </row>
    <row r="56" spans="2:30" ht="16">
      <c r="B56" s="110" t="s">
        <v>34</v>
      </c>
      <c r="C56" s="51">
        <f>SUM(C54:C55)</f>
        <v>-23938.761837206104</v>
      </c>
      <c r="D56" s="51">
        <f>SUM(D54:D55)</f>
        <v>3873.0657576672029</v>
      </c>
      <c r="E56" s="51">
        <f>SUM(E54:E55)</f>
        <v>4974.0945122844296</v>
      </c>
      <c r="F56" s="51">
        <f>SUM(F54:F55)</f>
        <v>4949.5306343739176</v>
      </c>
      <c r="G56" s="51">
        <f>SUM(G54:G55)</f>
        <v>4949.5306343739176</v>
      </c>
      <c r="H56" s="51">
        <f t="shared" ref="H56:AA56" si="26">SUM(H54:H55)</f>
        <v>4949.5306343739176</v>
      </c>
      <c r="I56" s="51">
        <f t="shared" si="26"/>
        <v>4949.5306343739176</v>
      </c>
      <c r="J56" s="51">
        <f t="shared" si="26"/>
        <v>4949.5306343739176</v>
      </c>
      <c r="K56" s="51">
        <f t="shared" si="26"/>
        <v>4949.5306343739176</v>
      </c>
      <c r="L56" s="51">
        <f t="shared" si="26"/>
        <v>4949.5306343739176</v>
      </c>
      <c r="M56" s="51">
        <f t="shared" si="26"/>
        <v>4949.5306343739176</v>
      </c>
      <c r="N56" s="51">
        <f t="shared" si="26"/>
        <v>4949.5306343739176</v>
      </c>
      <c r="O56" s="51">
        <f t="shared" si="26"/>
        <v>4949.5306343739176</v>
      </c>
      <c r="P56" s="51">
        <f t="shared" si="26"/>
        <v>4949.5306343739176</v>
      </c>
      <c r="Q56" s="51">
        <f t="shared" si="26"/>
        <v>4949.5306343739176</v>
      </c>
      <c r="R56" s="51">
        <f t="shared" si="26"/>
        <v>4949.5306343739176</v>
      </c>
      <c r="S56" s="51">
        <f t="shared" si="26"/>
        <v>4949.5306343739176</v>
      </c>
      <c r="T56" s="51">
        <f t="shared" si="26"/>
        <v>4949.5306343739176</v>
      </c>
      <c r="U56" s="51">
        <f t="shared" si="26"/>
        <v>4949.5306343739176</v>
      </c>
      <c r="V56" s="51">
        <f t="shared" si="26"/>
        <v>4949.5306343739176</v>
      </c>
      <c r="W56" s="51">
        <f t="shared" si="26"/>
        <v>4949.5306343739176</v>
      </c>
      <c r="X56" s="51">
        <f t="shared" si="26"/>
        <v>4949.5306343739176</v>
      </c>
      <c r="Y56" s="51">
        <f t="shared" si="26"/>
        <v>4949.5306343739176</v>
      </c>
      <c r="Z56" s="51">
        <f t="shared" si="26"/>
        <v>4949.5306343739176</v>
      </c>
      <c r="AA56" s="51">
        <f t="shared" si="26"/>
        <v>4949.5306343739176</v>
      </c>
      <c r="AB56" s="51"/>
      <c r="AC56" s="60">
        <f>SUM(C56:AB56)</f>
        <v>93798.072388971763</v>
      </c>
      <c r="AD56" s="28"/>
    </row>
    <row r="57" spans="2:30" ht="16">
      <c r="B57" s="110" t="s">
        <v>234</v>
      </c>
      <c r="C57" s="55">
        <v>1</v>
      </c>
      <c r="D57" s="55">
        <f t="shared" ref="D57:AA57" si="27">ROUND(C57/1.1,3)</f>
        <v>0.90900000000000003</v>
      </c>
      <c r="E57" s="55">
        <f t="shared" si="27"/>
        <v>0.82599999999999996</v>
      </c>
      <c r="F57" s="55">
        <f t="shared" si="27"/>
        <v>0.751</v>
      </c>
      <c r="G57" s="55">
        <f t="shared" si="27"/>
        <v>0.68300000000000005</v>
      </c>
      <c r="H57" s="55">
        <f t="shared" si="27"/>
        <v>0.621</v>
      </c>
      <c r="I57" s="55">
        <f t="shared" si="27"/>
        <v>0.56499999999999995</v>
      </c>
      <c r="J57" s="55">
        <f t="shared" si="27"/>
        <v>0.51400000000000001</v>
      </c>
      <c r="K57" s="55">
        <f t="shared" si="27"/>
        <v>0.46700000000000003</v>
      </c>
      <c r="L57" s="55">
        <f t="shared" si="27"/>
        <v>0.42499999999999999</v>
      </c>
      <c r="M57" s="55">
        <f t="shared" si="27"/>
        <v>0.38600000000000001</v>
      </c>
      <c r="N57" s="55">
        <f t="shared" si="27"/>
        <v>0.35099999999999998</v>
      </c>
      <c r="O57" s="55">
        <f t="shared" si="27"/>
        <v>0.31900000000000001</v>
      </c>
      <c r="P57" s="55">
        <f t="shared" si="27"/>
        <v>0.28999999999999998</v>
      </c>
      <c r="Q57" s="55">
        <f t="shared" si="27"/>
        <v>0.26400000000000001</v>
      </c>
      <c r="R57" s="55">
        <f t="shared" si="27"/>
        <v>0.24</v>
      </c>
      <c r="S57" s="55">
        <f t="shared" si="27"/>
        <v>0.218</v>
      </c>
      <c r="T57" s="55">
        <f t="shared" si="27"/>
        <v>0.19800000000000001</v>
      </c>
      <c r="U57" s="55">
        <f t="shared" si="27"/>
        <v>0.18</v>
      </c>
      <c r="V57" s="55">
        <f t="shared" si="27"/>
        <v>0.16400000000000001</v>
      </c>
      <c r="W57" s="55">
        <f t="shared" si="27"/>
        <v>0.14899999999999999</v>
      </c>
      <c r="X57" s="55">
        <f t="shared" si="27"/>
        <v>0.13500000000000001</v>
      </c>
      <c r="Y57" s="55">
        <f t="shared" si="27"/>
        <v>0.123</v>
      </c>
      <c r="Z57" s="55">
        <f t="shared" si="27"/>
        <v>0.112</v>
      </c>
      <c r="AA57" s="55">
        <f t="shared" si="27"/>
        <v>0.10199999999999999</v>
      </c>
      <c r="AB57" s="55"/>
      <c r="AC57" s="61"/>
      <c r="AD57" s="28"/>
    </row>
    <row r="58" spans="2:30" ht="17" thickBot="1">
      <c r="B58" s="114" t="s">
        <v>35</v>
      </c>
      <c r="C58" s="52">
        <f>C56*C57</f>
        <v>-23938.761837206104</v>
      </c>
      <c r="D58" s="52">
        <f t="shared" ref="D58" si="28">D56*D57</f>
        <v>3520.6167737194874</v>
      </c>
      <c r="E58" s="52">
        <f t="shared" ref="E58" si="29">E56*E57</f>
        <v>4108.6020671469387</v>
      </c>
      <c r="F58" s="52">
        <f t="shared" ref="F58:G58" si="30">F56*F57</f>
        <v>3717.097506414812</v>
      </c>
      <c r="G58" s="52">
        <f t="shared" si="30"/>
        <v>3380.5294232773858</v>
      </c>
      <c r="H58" s="52">
        <f t="shared" ref="H58:AA58" si="31">H56*H57</f>
        <v>3073.6585239462029</v>
      </c>
      <c r="I58" s="52">
        <f t="shared" si="31"/>
        <v>2796.4848084212631</v>
      </c>
      <c r="J58" s="52">
        <f t="shared" si="31"/>
        <v>2544.0587460681936</v>
      </c>
      <c r="K58" s="52">
        <f t="shared" si="31"/>
        <v>2311.4308062526197</v>
      </c>
      <c r="L58" s="52">
        <f t="shared" si="31"/>
        <v>2103.5505196089148</v>
      </c>
      <c r="M58" s="52">
        <f t="shared" si="31"/>
        <v>1910.5188248683323</v>
      </c>
      <c r="N58" s="52">
        <f t="shared" si="31"/>
        <v>1737.285252665245</v>
      </c>
      <c r="O58" s="52">
        <f t="shared" si="31"/>
        <v>1578.9002723652798</v>
      </c>
      <c r="P58" s="52">
        <f t="shared" si="31"/>
        <v>1435.3638839684361</v>
      </c>
      <c r="Q58" s="52">
        <f t="shared" si="31"/>
        <v>1306.6760874747142</v>
      </c>
      <c r="R58" s="52">
        <f t="shared" si="31"/>
        <v>1187.8873522497402</v>
      </c>
      <c r="S58" s="52">
        <f t="shared" si="31"/>
        <v>1078.9976782935141</v>
      </c>
      <c r="T58" s="52">
        <f t="shared" si="31"/>
        <v>980.00706560603578</v>
      </c>
      <c r="U58" s="52">
        <f t="shared" si="31"/>
        <v>890.91551418730512</v>
      </c>
      <c r="V58" s="52">
        <f t="shared" si="31"/>
        <v>811.72302403732249</v>
      </c>
      <c r="W58" s="52">
        <f t="shared" si="31"/>
        <v>737.48006452171364</v>
      </c>
      <c r="X58" s="52">
        <f t="shared" si="31"/>
        <v>668.18663564047893</v>
      </c>
      <c r="Y58" s="52">
        <f t="shared" si="31"/>
        <v>608.79226802799189</v>
      </c>
      <c r="Z58" s="52">
        <f t="shared" si="31"/>
        <v>554.34743104987876</v>
      </c>
      <c r="AA58" s="52">
        <f t="shared" si="31"/>
        <v>504.85212470613953</v>
      </c>
      <c r="AB58" s="52"/>
      <c r="AC58" s="62">
        <f>SUM(C58:AB58)</f>
        <v>19609.200817311841</v>
      </c>
      <c r="AD58" s="28"/>
    </row>
    <row r="59" spans="2:30" ht="16" thickTop="1">
      <c r="C59" s="28"/>
      <c r="D59" s="28"/>
      <c r="E59" s="28"/>
      <c r="F59" s="28"/>
      <c r="G59" s="28"/>
      <c r="H59" s="28"/>
      <c r="I59" s="28"/>
      <c r="J59" s="28"/>
      <c r="K59" s="28"/>
      <c r="L59" s="28"/>
      <c r="M59" s="28"/>
      <c r="N59" s="28"/>
      <c r="O59" s="28"/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  <c r="AB59" s="28"/>
      <c r="AC59" s="28"/>
      <c r="AD59" s="28"/>
    </row>
    <row r="60" spans="2:30"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8"/>
      <c r="S60" s="28"/>
      <c r="T60" s="28"/>
      <c r="U60" s="28"/>
      <c r="V60" s="28"/>
      <c r="W60" s="28"/>
      <c r="X60" s="28"/>
      <c r="Y60" s="28"/>
      <c r="Z60" s="28"/>
      <c r="AA60" s="28"/>
      <c r="AB60" s="28"/>
      <c r="AC60" s="28"/>
      <c r="AD60" s="28"/>
    </row>
    <row r="61" spans="2:30"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  <c r="U61" s="28"/>
      <c r="V61" s="28"/>
      <c r="W61" s="28"/>
      <c r="X61" s="28"/>
      <c r="Y61" s="28"/>
      <c r="Z61" s="28"/>
      <c r="AA61" s="28"/>
      <c r="AB61" s="28"/>
      <c r="AC61" s="28"/>
      <c r="AD61" s="28"/>
    </row>
    <row r="62" spans="2:30">
      <c r="C62" s="28"/>
      <c r="D62" s="28"/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  <c r="AB62" s="28"/>
      <c r="AC62" s="28"/>
      <c r="AD62" s="28"/>
    </row>
    <row r="63" spans="2:30">
      <c r="C63" s="28"/>
      <c r="D63" s="28"/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28"/>
      <c r="AB63" s="28"/>
      <c r="AC63" s="28"/>
      <c r="AD63" s="28"/>
    </row>
  </sheetData>
  <pageMargins left="0.70866141732283472" right="0.70866141732283472" top="0.74803149606299213" bottom="0.74803149606299213" header="0.31496062992125984" footer="0.31496062992125984"/>
  <pageSetup paperSize="9" scale="66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C36"/>
  <sheetViews>
    <sheetView workbookViewId="0">
      <selection activeCell="C6" sqref="C6"/>
    </sheetView>
  </sheetViews>
  <sheetFormatPr baseColWidth="10" defaultColWidth="9.1640625" defaultRowHeight="15"/>
  <cols>
    <col min="1" max="1" width="49.5" style="196" customWidth="1"/>
    <col min="2" max="6" width="9.1640625" style="197"/>
    <col min="7" max="7" width="14" style="197" customWidth="1"/>
    <col min="8" max="11" width="10.5" style="197" bestFit="1" customWidth="1"/>
    <col min="12" max="17" width="9.1640625" style="197"/>
    <col min="18" max="18" width="43.1640625" style="197" bestFit="1" customWidth="1"/>
    <col min="19" max="19" width="8.83203125" style="197" bestFit="1" customWidth="1"/>
    <col min="20" max="20" width="8.5" style="197" bestFit="1" customWidth="1"/>
    <col min="21" max="21" width="8.33203125" style="197" bestFit="1" customWidth="1"/>
    <col min="22" max="22" width="8.83203125" style="197" bestFit="1" customWidth="1"/>
    <col min="23" max="23" width="8.33203125" style="197" bestFit="1" customWidth="1"/>
    <col min="24" max="28" width="10.5" style="197" bestFit="1" customWidth="1"/>
    <col min="29" max="16384" width="9.1640625" style="197"/>
  </cols>
  <sheetData>
    <row r="1" spans="1:29" ht="16" thickBot="1">
      <c r="A1" s="229" t="s">
        <v>242</v>
      </c>
      <c r="B1" s="277" t="s">
        <v>4</v>
      </c>
      <c r="C1" s="277"/>
      <c r="D1" s="277"/>
      <c r="E1" s="277"/>
      <c r="F1" s="277"/>
      <c r="G1" s="277" t="s">
        <v>156</v>
      </c>
      <c r="H1" s="277"/>
      <c r="I1" s="277"/>
      <c r="J1" s="277"/>
      <c r="K1" s="277"/>
      <c r="N1" s="238">
        <v>-5821</v>
      </c>
      <c r="R1" s="229" t="s">
        <v>240</v>
      </c>
      <c r="S1" s="277" t="s">
        <v>4</v>
      </c>
      <c r="T1" s="277"/>
      <c r="U1" s="277"/>
      <c r="V1" s="277"/>
      <c r="W1" s="277"/>
      <c r="X1" s="277" t="s">
        <v>156</v>
      </c>
      <c r="Y1" s="277"/>
      <c r="Z1" s="277"/>
      <c r="AA1" s="277"/>
      <c r="AB1" s="277"/>
    </row>
    <row r="2" spans="1:29" s="200" customFormat="1">
      <c r="A2" s="198"/>
      <c r="B2" s="199" t="s">
        <v>55</v>
      </c>
      <c r="C2" s="199" t="s">
        <v>27</v>
      </c>
      <c r="D2" s="199" t="s">
        <v>28</v>
      </c>
      <c r="E2" s="199" t="s">
        <v>157</v>
      </c>
      <c r="F2" s="199" t="s">
        <v>158</v>
      </c>
      <c r="G2" s="199" t="s">
        <v>55</v>
      </c>
      <c r="H2" s="199" t="s">
        <v>27</v>
      </c>
      <c r="I2" s="199" t="s">
        <v>28</v>
      </c>
      <c r="J2" s="199" t="s">
        <v>157</v>
      </c>
      <c r="K2" s="199" t="s">
        <v>158</v>
      </c>
      <c r="N2" s="239">
        <v>-99.93</v>
      </c>
      <c r="R2" s="198"/>
      <c r="S2" s="199" t="s">
        <v>55</v>
      </c>
      <c r="T2" s="199" t="s">
        <v>27</v>
      </c>
      <c r="U2" s="199" t="s">
        <v>28</v>
      </c>
      <c r="V2" s="199" t="s">
        <v>157</v>
      </c>
      <c r="W2" s="199" t="s">
        <v>158</v>
      </c>
      <c r="X2" s="199" t="s">
        <v>55</v>
      </c>
      <c r="Y2" s="199" t="s">
        <v>27</v>
      </c>
      <c r="Z2" s="199" t="s">
        <v>28</v>
      </c>
      <c r="AA2" s="199" t="s">
        <v>157</v>
      </c>
      <c r="AB2" s="199" t="s">
        <v>158</v>
      </c>
    </row>
    <row r="3" spans="1:29" s="203" customFormat="1" ht="120">
      <c r="A3" s="201"/>
      <c r="B3" s="202" t="s">
        <v>159</v>
      </c>
      <c r="C3" s="202" t="s">
        <v>148</v>
      </c>
      <c r="D3" s="202" t="s">
        <v>150</v>
      </c>
      <c r="E3" s="202" t="s">
        <v>151</v>
      </c>
      <c r="F3" s="202" t="s">
        <v>153</v>
      </c>
      <c r="G3" s="202" t="s">
        <v>159</v>
      </c>
      <c r="H3" s="202" t="s">
        <v>148</v>
      </c>
      <c r="I3" s="202" t="s">
        <v>150</v>
      </c>
      <c r="J3" s="202" t="s">
        <v>151</v>
      </c>
      <c r="K3" s="202" t="s">
        <v>153</v>
      </c>
      <c r="N3" s="240">
        <f>-980.7*0.15</f>
        <v>-147.10499999999999</v>
      </c>
      <c r="R3" s="201"/>
      <c r="S3" s="202" t="s">
        <v>159</v>
      </c>
      <c r="T3" s="202" t="s">
        <v>148</v>
      </c>
      <c r="U3" s="202" t="s">
        <v>150</v>
      </c>
      <c r="V3" s="202" t="s">
        <v>151</v>
      </c>
      <c r="W3" s="202" t="s">
        <v>153</v>
      </c>
      <c r="X3" s="202" t="s">
        <v>159</v>
      </c>
      <c r="Y3" s="202" t="s">
        <v>148</v>
      </c>
      <c r="Z3" s="202" t="s">
        <v>150</v>
      </c>
      <c r="AA3" s="202" t="s">
        <v>151</v>
      </c>
      <c r="AB3" s="202" t="s">
        <v>153</v>
      </c>
    </row>
    <row r="4" spans="1:29">
      <c r="A4" s="204" t="s">
        <v>160</v>
      </c>
      <c r="B4" s="196"/>
      <c r="C4" s="196"/>
      <c r="D4" s="196"/>
      <c r="E4" s="196"/>
      <c r="F4" s="196"/>
      <c r="R4" s="204" t="s">
        <v>160</v>
      </c>
      <c r="S4" s="196"/>
      <c r="T4" s="196"/>
      <c r="U4" s="196"/>
      <c r="V4" s="196"/>
      <c r="W4" s="196"/>
    </row>
    <row r="5" spans="1:29">
      <c r="A5" s="196" t="s">
        <v>161</v>
      </c>
      <c r="B5" s="205">
        <v>1568.6000000000001</v>
      </c>
      <c r="C5" s="205">
        <v>1568.6000000000001</v>
      </c>
      <c r="D5" s="205">
        <v>1568.6000000000001</v>
      </c>
      <c r="E5" s="205">
        <v>4290.2420000000002</v>
      </c>
      <c r="F5" s="205">
        <v>5310.9760756800006</v>
      </c>
      <c r="G5" s="205">
        <f>-840.214432108674*B5*1.022</f>
        <v>-1346955.4860861909</v>
      </c>
      <c r="H5" s="205">
        <f>-840.214432108674*C5*1.022</f>
        <v>-1346955.4860861909</v>
      </c>
      <c r="I5" s="205">
        <f>-840.214432108674*D5*1.022</f>
        <v>-1346955.4860861909</v>
      </c>
      <c r="J5" s="205">
        <f>-840.214432108674*E5*1.022</f>
        <v>-3684027.1570428354</v>
      </c>
      <c r="K5" s="205">
        <f>-840.214432108674*F5*1.022</f>
        <v>-4560530.6398123717</v>
      </c>
      <c r="L5" s="196" t="s">
        <v>162</v>
      </c>
      <c r="R5" s="196" t="s">
        <v>161</v>
      </c>
      <c r="S5" s="205" t="e">
        <f>#REF!</f>
        <v>#REF!</v>
      </c>
      <c r="T5" s="205" t="e">
        <f>S5</f>
        <v>#REF!</v>
      </c>
      <c r="U5" s="205" t="e">
        <f>T5</f>
        <v>#REF!</v>
      </c>
      <c r="V5" s="205" t="e">
        <f>#REF!+#REF!+#REF!+#REF!</f>
        <v>#REF!</v>
      </c>
      <c r="W5" s="205" t="e">
        <f>V5+#REF!</f>
        <v>#REF!</v>
      </c>
      <c r="X5" s="205" t="e">
        <f>S5*-1972</f>
        <v>#REF!</v>
      </c>
      <c r="Y5" s="205" t="e">
        <f>T5*-1972</f>
        <v>#REF!</v>
      </c>
      <c r="Z5" s="205" t="e">
        <f>U5*-1972</f>
        <v>#REF!</v>
      </c>
      <c r="AA5" s="205" t="e">
        <f>V5*-1972</f>
        <v>#REF!</v>
      </c>
      <c r="AB5" s="205" t="e">
        <f>W5*-1972</f>
        <v>#REF!</v>
      </c>
      <c r="AC5" s="196" t="s">
        <v>162</v>
      </c>
    </row>
    <row r="6" spans="1:29">
      <c r="A6" s="196" t="s">
        <v>163</v>
      </c>
      <c r="B6" s="205">
        <v>1480</v>
      </c>
      <c r="C6" s="205">
        <v>2709.0512261252002</v>
      </c>
      <c r="D6" s="205">
        <v>4226.3999999999996</v>
      </c>
      <c r="E6" s="205">
        <v>4226.3999999999996</v>
      </c>
      <c r="F6" s="205">
        <v>4611.6030285599991</v>
      </c>
      <c r="G6" s="205">
        <f>-6585.19073771264*B6*1.022</f>
        <v>-9960496.1022346318</v>
      </c>
      <c r="H6" s="205">
        <f>-6585.19073771264*C6*1.022</f>
        <v>-18232090.66119865</v>
      </c>
      <c r="I6" s="205">
        <f>-6585.19073771264*D6*1.022</f>
        <v>-28443946.436813809</v>
      </c>
      <c r="J6" s="205">
        <f>-6585.19073771264*E6*1.022</f>
        <v>-28443946.436813809</v>
      </c>
      <c r="K6" s="205">
        <f>-6585.19073771264*F6*1.022</f>
        <v>-31036387.831773847</v>
      </c>
      <c r="L6" s="196" t="s">
        <v>164</v>
      </c>
      <c r="R6" s="196" t="s">
        <v>163</v>
      </c>
      <c r="S6" s="205" t="e">
        <f>#REF!</f>
        <v>#REF!</v>
      </c>
      <c r="T6" s="205" t="e">
        <f>#REF!+#REF!+#REF!+#REF!</f>
        <v>#REF!</v>
      </c>
      <c r="U6" s="205" t="e">
        <f>#REF!+#REF!+#REF!+#REF!</f>
        <v>#REF!</v>
      </c>
      <c r="V6" s="205" t="e">
        <f>U6</f>
        <v>#REF!</v>
      </c>
      <c r="W6" s="205" t="e">
        <f>V6+#REF!</f>
        <v>#REF!</v>
      </c>
      <c r="X6" s="205" t="e">
        <f>-5821*S6</f>
        <v>#REF!</v>
      </c>
      <c r="Y6" s="205" t="e">
        <f t="shared" ref="Y6" si="0">-5821*T6</f>
        <v>#REF!</v>
      </c>
      <c r="Z6" s="205" t="e">
        <f t="shared" ref="Z6" si="1">-5821*U6</f>
        <v>#REF!</v>
      </c>
      <c r="AA6" s="205" t="e">
        <f t="shared" ref="AA6" si="2">-5821*V6</f>
        <v>#REF!</v>
      </c>
      <c r="AB6" s="205" t="e">
        <f t="shared" ref="AB6" si="3">-5821*W6</f>
        <v>#REF!</v>
      </c>
      <c r="AC6" s="196" t="s">
        <v>164</v>
      </c>
    </row>
    <row r="7" spans="1:29">
      <c r="A7" s="196" t="s">
        <v>165</v>
      </c>
      <c r="B7" s="205">
        <v>3048.6000000000004</v>
      </c>
      <c r="C7" s="205">
        <v>3171.5051226125206</v>
      </c>
      <c r="D7" s="205">
        <v>3323.2400000000002</v>
      </c>
      <c r="E7" s="205">
        <v>3595.4042000000004</v>
      </c>
      <c r="F7" s="205">
        <v>3735.9979104240001</v>
      </c>
      <c r="G7" s="205">
        <f>B7*-99.93</f>
        <v>-304646.59800000006</v>
      </c>
      <c r="H7" s="205">
        <f t="shared" ref="H7:K7" si="4">C7*-99.93</f>
        <v>-316928.50690266921</v>
      </c>
      <c r="I7" s="205">
        <f t="shared" si="4"/>
        <v>-332091.37320000003</v>
      </c>
      <c r="J7" s="205">
        <f t="shared" si="4"/>
        <v>-359288.74170600006</v>
      </c>
      <c r="K7" s="205">
        <f t="shared" si="4"/>
        <v>-373338.27118867036</v>
      </c>
      <c r="L7" s="196" t="s">
        <v>166</v>
      </c>
      <c r="R7" s="196" t="s">
        <v>165</v>
      </c>
      <c r="S7" s="205" t="e">
        <f>SUM(S5:S6)</f>
        <v>#REF!</v>
      </c>
      <c r="T7" s="205" t="e">
        <f t="shared" ref="T7:W7" si="5">SUM(T5:T6)</f>
        <v>#REF!</v>
      </c>
      <c r="U7" s="205" t="e">
        <f t="shared" si="5"/>
        <v>#REF!</v>
      </c>
      <c r="V7" s="205" t="e">
        <f t="shared" si="5"/>
        <v>#REF!</v>
      </c>
      <c r="W7" s="205" t="e">
        <f t="shared" si="5"/>
        <v>#REF!</v>
      </c>
      <c r="X7" s="205" t="e">
        <f>S7*-99.93</f>
        <v>#REF!</v>
      </c>
      <c r="Y7" s="205" t="e">
        <f t="shared" ref="Y7" si="6">T7*-99.93</f>
        <v>#REF!</v>
      </c>
      <c r="Z7" s="205" t="e">
        <f t="shared" ref="Z7" si="7">U7*-99.93</f>
        <v>#REF!</v>
      </c>
      <c r="AA7" s="205" t="e">
        <f t="shared" ref="AA7" si="8">V7*-99.93</f>
        <v>#REF!</v>
      </c>
      <c r="AB7" s="205" t="e">
        <f t="shared" ref="AB7" si="9">W7*-99.93</f>
        <v>#REF!</v>
      </c>
      <c r="AC7" s="196" t="s">
        <v>166</v>
      </c>
    </row>
    <row r="8" spans="1:29">
      <c r="A8" s="196" t="s">
        <v>167</v>
      </c>
      <c r="B8" s="205">
        <v>222</v>
      </c>
      <c r="C8" s="205">
        <v>406</v>
      </c>
      <c r="D8" s="205">
        <v>634</v>
      </c>
      <c r="E8" s="205">
        <v>634</v>
      </c>
      <c r="F8" s="205">
        <v>692</v>
      </c>
      <c r="G8" s="205">
        <f>-980.7*B8</f>
        <v>-217715.40000000002</v>
      </c>
      <c r="H8" s="205">
        <f>-980.7*C8</f>
        <v>-398164.2</v>
      </c>
      <c r="I8" s="205">
        <f>-980.7*D8</f>
        <v>-621763.80000000005</v>
      </c>
      <c r="J8" s="205">
        <f>-980.7*E8</f>
        <v>-621763.80000000005</v>
      </c>
      <c r="K8" s="205">
        <f>-980.7*F8</f>
        <v>-678644.4</v>
      </c>
      <c r="L8" s="196" t="s">
        <v>168</v>
      </c>
      <c r="R8" s="196" t="s">
        <v>167</v>
      </c>
      <c r="S8" s="205" t="e">
        <f>S6*0.15</f>
        <v>#REF!</v>
      </c>
      <c r="T8" s="205" t="e">
        <f>T6*0.15</f>
        <v>#REF!</v>
      </c>
      <c r="U8" s="205" t="e">
        <f>U6*0.15</f>
        <v>#REF!</v>
      </c>
      <c r="V8" s="205" t="e">
        <f>V6*0.15</f>
        <v>#REF!</v>
      </c>
      <c r="W8" s="205" t="e">
        <f>W6*0.15</f>
        <v>#REF!</v>
      </c>
      <c r="X8" s="205" t="e">
        <f>-980.7*S8</f>
        <v>#REF!</v>
      </c>
      <c r="Y8" s="205" t="e">
        <f>-980.7*T8</f>
        <v>#REF!</v>
      </c>
      <c r="Z8" s="205" t="e">
        <f>-980.7*U8</f>
        <v>#REF!</v>
      </c>
      <c r="AA8" s="205" t="e">
        <f>-980.7*V8</f>
        <v>#REF!</v>
      </c>
      <c r="AB8" s="205" t="e">
        <f>-980.7*W8</f>
        <v>#REF!</v>
      </c>
      <c r="AC8" s="196" t="s">
        <v>168</v>
      </c>
    </row>
    <row r="9" spans="1:29">
      <c r="A9" s="196" t="s">
        <v>169</v>
      </c>
      <c r="B9" s="205"/>
      <c r="C9" s="205"/>
      <c r="D9" s="205"/>
      <c r="E9" s="205"/>
      <c r="F9" s="205"/>
      <c r="G9" s="205"/>
      <c r="H9" s="205"/>
      <c r="I9" s="205"/>
      <c r="J9" s="205"/>
      <c r="K9" s="205"/>
      <c r="L9" s="196" t="s">
        <v>244</v>
      </c>
      <c r="R9" s="196" t="s">
        <v>169</v>
      </c>
      <c r="S9" s="205"/>
      <c r="T9" s="205"/>
      <c r="U9" s="205"/>
      <c r="V9" s="205"/>
      <c r="W9" s="205"/>
      <c r="X9" s="205" t="e">
        <f>-40*SUM(S5:S6)</f>
        <v>#REF!</v>
      </c>
      <c r="Y9" s="205" t="e">
        <f>-40*SUM(T5:T6)</f>
        <v>#REF!</v>
      </c>
      <c r="Z9" s="205" t="e">
        <f>-40*SUM(U5:U6)</f>
        <v>#REF!</v>
      </c>
      <c r="AA9" s="205" t="e">
        <f>-40*SUM(V5:V6)</f>
        <v>#REF!</v>
      </c>
      <c r="AB9" s="205" t="e">
        <f>-40*SUM(W5:W6)</f>
        <v>#REF!</v>
      </c>
      <c r="AC9" s="196" t="s">
        <v>170</v>
      </c>
    </row>
    <row r="10" spans="1:29">
      <c r="A10" s="196" t="s">
        <v>171</v>
      </c>
      <c r="B10" s="205"/>
      <c r="C10" s="205"/>
      <c r="D10" s="205"/>
      <c r="E10" s="205"/>
      <c r="F10" s="205"/>
      <c r="G10" s="205">
        <f>I10*(B6/D6)</f>
        <v>-9295.8335338100096</v>
      </c>
      <c r="H10" s="205">
        <f>I10*(C6/D6)</f>
        <v>-17015.465697718755</v>
      </c>
      <c r="I10" s="205">
        <v>-26545.8857076315</v>
      </c>
      <c r="J10" s="205">
        <f>I10</f>
        <v>-26545.8857076315</v>
      </c>
      <c r="K10" s="205">
        <f>(F6/E6)*J10</f>
        <v>-28965.333836153943</v>
      </c>
      <c r="L10" s="196" t="s">
        <v>243</v>
      </c>
      <c r="R10" s="196" t="s">
        <v>171</v>
      </c>
      <c r="S10" s="205"/>
      <c r="T10" s="205"/>
      <c r="U10" s="205"/>
      <c r="V10" s="205"/>
      <c r="W10" s="205"/>
      <c r="X10" s="205" t="e">
        <f>(SUM(X5:X9)/SUM(G5:G9))*G10</f>
        <v>#REF!</v>
      </c>
      <c r="Y10" s="205" t="e">
        <f>(SUM(Y5:Y9)/SUM(H5:H9))*H10</f>
        <v>#REF!</v>
      </c>
      <c r="Z10" s="205" t="e">
        <f>(SUM(Z5:Z9)/SUM(I5:I9))*I10</f>
        <v>#REF!</v>
      </c>
      <c r="AA10" s="205" t="e">
        <f>(SUM(AA5:AA9)/SUM(J5:J9))*J10</f>
        <v>#REF!</v>
      </c>
      <c r="AB10" s="205" t="e">
        <f>(SUM(AB5:AB9)/SUM(K5:K9))*K10</f>
        <v>#REF!</v>
      </c>
    </row>
    <row r="11" spans="1:29">
      <c r="A11" s="204" t="s">
        <v>172</v>
      </c>
      <c r="B11" s="206">
        <f t="shared" ref="B11:K11" si="10">SUM(B5:B10)</f>
        <v>6319.2000000000007</v>
      </c>
      <c r="C11" s="206">
        <f t="shared" si="10"/>
        <v>7855.1563487377207</v>
      </c>
      <c r="D11" s="206">
        <f t="shared" si="10"/>
        <v>9752.24</v>
      </c>
      <c r="E11" s="206">
        <f t="shared" si="10"/>
        <v>12746.046200000001</v>
      </c>
      <c r="F11" s="206">
        <f t="shared" si="10"/>
        <v>14350.577014663999</v>
      </c>
      <c r="G11" s="206">
        <f t="shared" si="10"/>
        <v>-11839109.419854634</v>
      </c>
      <c r="H11" s="206">
        <f t="shared" si="10"/>
        <v>-20311154.319885224</v>
      </c>
      <c r="I11" s="206">
        <f t="shared" si="10"/>
        <v>-30771302.981807631</v>
      </c>
      <c r="J11" s="206">
        <f>SUM(J5:J10)</f>
        <v>-33135572.021270275</v>
      </c>
      <c r="K11" s="206">
        <f t="shared" si="10"/>
        <v>-36677866.476611041</v>
      </c>
      <c r="L11" s="196"/>
      <c r="R11" s="204" t="s">
        <v>172</v>
      </c>
      <c r="S11" s="206" t="e">
        <f t="shared" ref="S11:AB11" si="11">SUM(S5:S10)</f>
        <v>#REF!</v>
      </c>
      <c r="T11" s="206" t="e">
        <f t="shared" si="11"/>
        <v>#REF!</v>
      </c>
      <c r="U11" s="206" t="e">
        <f t="shared" si="11"/>
        <v>#REF!</v>
      </c>
      <c r="V11" s="206" t="e">
        <f t="shared" si="11"/>
        <v>#REF!</v>
      </c>
      <c r="W11" s="206" t="e">
        <f t="shared" si="11"/>
        <v>#REF!</v>
      </c>
      <c r="X11" s="206" t="e">
        <f t="shared" si="11"/>
        <v>#REF!</v>
      </c>
      <c r="Y11" s="206" t="e">
        <f t="shared" si="11"/>
        <v>#REF!</v>
      </c>
      <c r="Z11" s="206" t="e">
        <f t="shared" si="11"/>
        <v>#REF!</v>
      </c>
      <c r="AA11" s="206" t="e">
        <f t="shared" si="11"/>
        <v>#REF!</v>
      </c>
      <c r="AB11" s="206" t="e">
        <f t="shared" si="11"/>
        <v>#REF!</v>
      </c>
    </row>
    <row r="12" spans="1:29">
      <c r="A12" s="196" t="s">
        <v>173</v>
      </c>
      <c r="B12" s="205"/>
      <c r="C12" s="205"/>
      <c r="D12" s="205"/>
      <c r="E12" s="205"/>
      <c r="F12" s="205"/>
      <c r="G12" s="205">
        <v>-12004.010221465076</v>
      </c>
      <c r="H12" s="205">
        <v>-21972.620681675271</v>
      </c>
      <c r="I12" s="205">
        <v>-34279.56</v>
      </c>
      <c r="J12" s="205">
        <v>-34279.56</v>
      </c>
      <c r="K12" s="205">
        <v>-37403.871548765899</v>
      </c>
      <c r="L12" s="196" t="s">
        <v>243</v>
      </c>
      <c r="R12" s="196" t="s">
        <v>173</v>
      </c>
      <c r="S12" s="205"/>
      <c r="T12" s="205"/>
      <c r="U12" s="205"/>
      <c r="V12" s="205"/>
      <c r="W12" s="205"/>
      <c r="X12" s="205"/>
      <c r="Y12" s="205"/>
      <c r="Z12" s="205"/>
      <c r="AA12" s="205"/>
      <c r="AB12" s="205"/>
    </row>
    <row r="13" spans="1:29">
      <c r="A13" s="204" t="s">
        <v>174</v>
      </c>
      <c r="B13" s="206">
        <f t="shared" ref="B13:K13" si="12">SUM(B12:B12)</f>
        <v>0</v>
      </c>
      <c r="C13" s="206">
        <f t="shared" si="12"/>
        <v>0</v>
      </c>
      <c r="D13" s="206">
        <f t="shared" si="12"/>
        <v>0</v>
      </c>
      <c r="E13" s="206">
        <f t="shared" si="12"/>
        <v>0</v>
      </c>
      <c r="F13" s="206">
        <f t="shared" si="12"/>
        <v>0</v>
      </c>
      <c r="G13" s="206">
        <f t="shared" si="12"/>
        <v>-12004.010221465076</v>
      </c>
      <c r="H13" s="206">
        <f t="shared" si="12"/>
        <v>-21972.620681675271</v>
      </c>
      <c r="I13" s="206">
        <f t="shared" si="12"/>
        <v>-34279.56</v>
      </c>
      <c r="J13" s="206">
        <f t="shared" si="12"/>
        <v>-34279.56</v>
      </c>
      <c r="K13" s="206">
        <f t="shared" si="12"/>
        <v>-37403.871548765899</v>
      </c>
      <c r="R13" s="204" t="s">
        <v>174</v>
      </c>
      <c r="S13" s="206">
        <f t="shared" ref="S13:AB13" si="13">SUM(S12:S12)</f>
        <v>0</v>
      </c>
      <c r="T13" s="206">
        <f t="shared" si="13"/>
        <v>0</v>
      </c>
      <c r="U13" s="206">
        <f t="shared" si="13"/>
        <v>0</v>
      </c>
      <c r="V13" s="206">
        <f t="shared" si="13"/>
        <v>0</v>
      </c>
      <c r="W13" s="206">
        <f t="shared" si="13"/>
        <v>0</v>
      </c>
      <c r="X13" s="206">
        <f t="shared" si="13"/>
        <v>0</v>
      </c>
      <c r="Y13" s="206">
        <f t="shared" si="13"/>
        <v>0</v>
      </c>
      <c r="Z13" s="206">
        <f t="shared" si="13"/>
        <v>0</v>
      </c>
      <c r="AA13" s="206">
        <f t="shared" si="13"/>
        <v>0</v>
      </c>
      <c r="AB13" s="206">
        <f t="shared" si="13"/>
        <v>0</v>
      </c>
    </row>
    <row r="14" spans="1:29">
      <c r="A14" s="204" t="s">
        <v>5</v>
      </c>
      <c r="B14" s="206">
        <f t="shared" ref="B14:K14" si="14">B11+B13</f>
        <v>6319.2000000000007</v>
      </c>
      <c r="C14" s="206">
        <f t="shared" si="14"/>
        <v>7855.1563487377207</v>
      </c>
      <c r="D14" s="206">
        <f t="shared" si="14"/>
        <v>9752.24</v>
      </c>
      <c r="E14" s="206">
        <f t="shared" si="14"/>
        <v>12746.046200000001</v>
      </c>
      <c r="F14" s="206">
        <f t="shared" si="14"/>
        <v>14350.577014663999</v>
      </c>
      <c r="G14" s="206">
        <f>G11+G13</f>
        <v>-11851113.430076098</v>
      </c>
      <c r="H14" s="206">
        <f t="shared" si="14"/>
        <v>-20333126.940566901</v>
      </c>
      <c r="I14" s="206">
        <f>I11+I13</f>
        <v>-30805582.541807629</v>
      </c>
      <c r="J14" s="206">
        <f t="shared" si="14"/>
        <v>-33169851.581270274</v>
      </c>
      <c r="K14" s="206">
        <f t="shared" si="14"/>
        <v>-36715270.348159805</v>
      </c>
      <c r="R14" s="204" t="s">
        <v>5</v>
      </c>
      <c r="S14" s="206" t="e">
        <f t="shared" ref="S14:AB14" si="15">S11+S13</f>
        <v>#REF!</v>
      </c>
      <c r="T14" s="206" t="e">
        <f t="shared" si="15"/>
        <v>#REF!</v>
      </c>
      <c r="U14" s="206" t="e">
        <f t="shared" si="15"/>
        <v>#REF!</v>
      </c>
      <c r="V14" s="206" t="e">
        <f t="shared" si="15"/>
        <v>#REF!</v>
      </c>
      <c r="W14" s="206" t="e">
        <f t="shared" si="15"/>
        <v>#REF!</v>
      </c>
      <c r="X14" s="206" t="e">
        <f t="shared" si="15"/>
        <v>#REF!</v>
      </c>
      <c r="Y14" s="206" t="e">
        <f t="shared" si="15"/>
        <v>#REF!</v>
      </c>
      <c r="Z14" s="206" t="e">
        <f t="shared" si="15"/>
        <v>#REF!</v>
      </c>
      <c r="AA14" s="206" t="e">
        <f t="shared" si="15"/>
        <v>#REF!</v>
      </c>
      <c r="AB14" s="206" t="e">
        <f t="shared" si="15"/>
        <v>#REF!</v>
      </c>
    </row>
    <row r="16" spans="1:29">
      <c r="A16" s="204" t="s">
        <v>175</v>
      </c>
    </row>
    <row r="17" spans="1:9">
      <c r="A17" s="196" t="s">
        <v>176</v>
      </c>
      <c r="H17" s="238">
        <v>-1972</v>
      </c>
    </row>
    <row r="18" spans="1:9" hidden="1">
      <c r="H18" s="197">
        <v>-99.93</v>
      </c>
    </row>
    <row r="19" spans="1:9" ht="16" hidden="1" thickBot="1">
      <c r="A19" s="204" t="s">
        <v>177</v>
      </c>
      <c r="H19" s="197">
        <f>-980.7*0.15</f>
        <v>-147.10499999999999</v>
      </c>
    </row>
    <row r="20" spans="1:9" ht="31" hidden="1" thickBot="1">
      <c r="A20" s="207" t="s">
        <v>178</v>
      </c>
      <c r="B20" s="208" t="s">
        <v>179</v>
      </c>
      <c r="C20" s="209" t="s">
        <v>180</v>
      </c>
      <c r="D20" s="210" t="s">
        <v>181</v>
      </c>
      <c r="H20" s="197">
        <f>SUM(H17:H19)</f>
        <v>-2219.0349999999999</v>
      </c>
      <c r="I20" s="197">
        <f>H20/B23</f>
        <v>-1901.8240596232579</v>
      </c>
    </row>
    <row r="21" spans="1:9" hidden="1">
      <c r="A21" s="211" t="s">
        <v>182</v>
      </c>
      <c r="B21" s="212">
        <v>1.2007460000000001</v>
      </c>
      <c r="C21" s="213">
        <v>1.1850830000000001</v>
      </c>
      <c r="D21" s="214">
        <v>1.1694199999999999</v>
      </c>
      <c r="E21" s="197">
        <f>I20*C21</f>
        <v>-2253.8193620505094</v>
      </c>
    </row>
    <row r="22" spans="1:9" hidden="1">
      <c r="A22" s="211" t="s">
        <v>183</v>
      </c>
      <c r="B22" s="212">
        <v>1.1970160000000001</v>
      </c>
      <c r="C22" s="213">
        <v>1.182113</v>
      </c>
      <c r="D22" s="214">
        <v>1.1672100000000001</v>
      </c>
      <c r="E22" s="197">
        <f>I20*C22</f>
        <v>-2248.170944593428</v>
      </c>
    </row>
    <row r="23" spans="1:9" hidden="1">
      <c r="A23" s="211" t="s">
        <v>184</v>
      </c>
      <c r="B23" s="212">
        <v>1.166793</v>
      </c>
      <c r="C23" s="213">
        <v>1.157098</v>
      </c>
      <c r="D23" s="214">
        <v>1.1474040000000001</v>
      </c>
    </row>
    <row r="24" spans="1:9" hidden="1">
      <c r="A24" s="211" t="s">
        <v>185</v>
      </c>
      <c r="B24" s="212">
        <v>1.155116</v>
      </c>
      <c r="C24" s="213">
        <v>1.1458060000000001</v>
      </c>
      <c r="D24" s="214">
        <v>1.136496</v>
      </c>
      <c r="E24" s="197">
        <f>I20*C24</f>
        <v>-2179.121418460687</v>
      </c>
    </row>
    <row r="25" spans="1:9" hidden="1"/>
    <row r="26" spans="1:9" hidden="1">
      <c r="A26" s="211" t="s">
        <v>182</v>
      </c>
      <c r="C26" s="197" t="e">
        <f>#REF!+#REF!</f>
        <v>#REF!</v>
      </c>
      <c r="D26" s="235">
        <f>B21-B23</f>
        <v>3.3953000000000122E-2</v>
      </c>
      <c r="E26" s="197" t="e">
        <f>C26*D26*5821</f>
        <v>#REF!</v>
      </c>
    </row>
    <row r="27" spans="1:9" hidden="1">
      <c r="A27" s="211" t="s">
        <v>183</v>
      </c>
      <c r="C27" s="197" t="e">
        <f>#REF!+#REF!</f>
        <v>#REF!</v>
      </c>
      <c r="D27" s="235">
        <f>B22-B23</f>
        <v>3.0223000000000111E-2</v>
      </c>
      <c r="E27" s="197" t="e">
        <f>C27*D27*5821</f>
        <v>#REF!</v>
      </c>
    </row>
    <row r="28" spans="1:9" hidden="1">
      <c r="A28" s="211" t="s">
        <v>185</v>
      </c>
      <c r="C28" s="197" t="e">
        <f>#REF!+#REF!</f>
        <v>#REF!</v>
      </c>
      <c r="D28" s="235">
        <f>B24-B23</f>
        <v>-1.1676999999999937E-2</v>
      </c>
      <c r="E28" s="197" t="e">
        <f>C28*D28*5821</f>
        <v>#REF!</v>
      </c>
    </row>
    <row r="29" spans="1:9" hidden="1"/>
    <row r="30" spans="1:9" hidden="1"/>
    <row r="33" spans="2:6">
      <c r="B33" s="205"/>
      <c r="C33" s="205"/>
      <c r="D33" s="205"/>
      <c r="E33" s="205"/>
      <c r="F33" s="205"/>
    </row>
    <row r="34" spans="2:6">
      <c r="B34" s="205"/>
      <c r="C34" s="205"/>
      <c r="D34" s="205"/>
      <c r="E34" s="205"/>
      <c r="F34" s="205"/>
    </row>
    <row r="35" spans="2:6">
      <c r="B35" s="205"/>
      <c r="C35" s="205"/>
      <c r="D35" s="205"/>
      <c r="E35" s="205"/>
      <c r="F35" s="205"/>
    </row>
    <row r="36" spans="2:6">
      <c r="B36" s="205"/>
      <c r="C36" s="205"/>
      <c r="D36" s="205"/>
      <c r="E36" s="205"/>
      <c r="F36" s="205"/>
    </row>
  </sheetData>
  <mergeCells count="4">
    <mergeCell ref="B1:F1"/>
    <mergeCell ref="G1:K1"/>
    <mergeCell ref="S1:W1"/>
    <mergeCell ref="X1:AB1"/>
  </mergeCells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38"/>
  <sheetViews>
    <sheetView workbookViewId="0">
      <selection activeCell="A7" sqref="A7"/>
    </sheetView>
  </sheetViews>
  <sheetFormatPr baseColWidth="10" defaultColWidth="9.1640625" defaultRowHeight="14"/>
  <cols>
    <col min="1" max="1" width="52.1640625" style="196" customWidth="1"/>
    <col min="2" max="6" width="15.6640625" style="196" customWidth="1"/>
    <col min="7" max="7" width="63.1640625" style="217" customWidth="1"/>
    <col min="8" max="16384" width="9.1640625" style="196"/>
  </cols>
  <sheetData>
    <row r="1" spans="1:7" s="198" customFormat="1">
      <c r="B1" s="199" t="s">
        <v>55</v>
      </c>
      <c r="C1" s="199" t="s">
        <v>27</v>
      </c>
      <c r="D1" s="199" t="s">
        <v>28</v>
      </c>
      <c r="E1" s="199" t="s">
        <v>157</v>
      </c>
      <c r="F1" s="199" t="s">
        <v>158</v>
      </c>
      <c r="G1" s="216"/>
    </row>
    <row r="2" spans="1:7" ht="60">
      <c r="B2" s="215" t="s">
        <v>159</v>
      </c>
      <c r="C2" s="215" t="s">
        <v>148</v>
      </c>
      <c r="D2" s="215" t="s">
        <v>150</v>
      </c>
      <c r="E2" s="215" t="s">
        <v>151</v>
      </c>
      <c r="F2" s="215" t="s">
        <v>153</v>
      </c>
    </row>
    <row r="3" spans="1:7" s="204" customFormat="1">
      <c r="A3" s="204" t="s">
        <v>186</v>
      </c>
      <c r="B3" s="199">
        <v>0</v>
      </c>
      <c r="C3" s="199">
        <v>1</v>
      </c>
      <c r="D3" s="199">
        <v>2</v>
      </c>
      <c r="E3" s="199">
        <v>4</v>
      </c>
      <c r="F3" s="199">
        <v>5</v>
      </c>
      <c r="G3" s="218"/>
    </row>
    <row r="4" spans="1:7" ht="30">
      <c r="A4" s="196" t="s">
        <v>187</v>
      </c>
      <c r="B4" s="219">
        <f>$D$4/$D$3*B3</f>
        <v>0</v>
      </c>
      <c r="C4" s="219">
        <f>$D$4/$D$3*C3</f>
        <v>612540</v>
      </c>
      <c r="D4" s="220">
        <v>1225080</v>
      </c>
      <c r="E4" s="219">
        <f>$D$4/$D$3*E3</f>
        <v>2450160</v>
      </c>
      <c r="F4" s="219">
        <f>$D$4/$D$3*F3</f>
        <v>3062700</v>
      </c>
      <c r="G4" s="217" t="s">
        <v>188</v>
      </c>
    </row>
    <row r="5" spans="1:7" ht="30">
      <c r="A5" s="196" t="s">
        <v>189</v>
      </c>
      <c r="B5" s="221">
        <f>$D$5/$D$3*B3</f>
        <v>0</v>
      </c>
      <c r="C5" s="221">
        <f>$D$5/$D$3*C3</f>
        <v>3804874.8660000004</v>
      </c>
      <c r="D5" s="222">
        <f>8834829.732-D4</f>
        <v>7609749.7320000008</v>
      </c>
      <c r="E5" s="221">
        <f>$D$5/$D$3*E3</f>
        <v>15219499.464000002</v>
      </c>
      <c r="F5" s="221">
        <f>$D$5/$D$3*F3</f>
        <v>19024374.330000002</v>
      </c>
      <c r="G5" s="217" t="s">
        <v>188</v>
      </c>
    </row>
    <row r="6" spans="1:7" ht="30">
      <c r="A6" s="196" t="s">
        <v>190</v>
      </c>
      <c r="B6" s="221">
        <v>0</v>
      </c>
      <c r="C6" s="221">
        <f>97200+27000+166000+100000+100000+87000</f>
        <v>577200</v>
      </c>
      <c r="D6" s="221">
        <f>97200+27000+166000+100000+100000+87000</f>
        <v>577200</v>
      </c>
      <c r="E6" s="221">
        <f>97200+27000+166000+100000+100000+87000</f>
        <v>577200</v>
      </c>
      <c r="F6" s="221">
        <f>97200+27000+166000+100000+100000+87000</f>
        <v>577200</v>
      </c>
      <c r="G6" s="217" t="s">
        <v>191</v>
      </c>
    </row>
    <row r="7" spans="1:7">
      <c r="A7" s="196" t="s">
        <v>192</v>
      </c>
      <c r="B7" s="221">
        <f>B4/7</f>
        <v>0</v>
      </c>
      <c r="C7" s="221">
        <f>C4/7</f>
        <v>87505.71428571429</v>
      </c>
      <c r="D7" s="221">
        <f>D4/7</f>
        <v>175011.42857142858</v>
      </c>
      <c r="E7" s="221">
        <f>E4/7</f>
        <v>350022.85714285716</v>
      </c>
      <c r="F7" s="221">
        <f>F4/7</f>
        <v>437528.57142857142</v>
      </c>
    </row>
    <row r="8" spans="1:7">
      <c r="A8" s="196" t="s">
        <v>193</v>
      </c>
      <c r="B8" s="221">
        <f>B5/25</f>
        <v>0</v>
      </c>
      <c r="C8" s="221">
        <f>C5/25</f>
        <v>152194.99464000002</v>
      </c>
      <c r="D8" s="221">
        <f>D5/25</f>
        <v>304389.98928000004</v>
      </c>
      <c r="E8" s="221">
        <f>E5/25</f>
        <v>608779.97856000008</v>
      </c>
      <c r="F8" s="221">
        <f>F5/25</f>
        <v>760974.97320000012</v>
      </c>
    </row>
    <row r="9" spans="1:7">
      <c r="A9" s="196" t="s">
        <v>194</v>
      </c>
      <c r="B9" s="221">
        <v>0</v>
      </c>
      <c r="C9" s="221">
        <f>C6/25</f>
        <v>23088</v>
      </c>
      <c r="D9" s="221">
        <f>D6/25</f>
        <v>23088</v>
      </c>
      <c r="E9" s="221">
        <f>E6/25</f>
        <v>23088</v>
      </c>
      <c r="F9" s="221">
        <f>F6/25</f>
        <v>23088</v>
      </c>
    </row>
    <row r="10" spans="1:7">
      <c r="A10" s="196" t="s">
        <v>195</v>
      </c>
      <c r="B10" s="221">
        <f>((B$4-B$7)+(B$4))*0.035/2</f>
        <v>0</v>
      </c>
      <c r="C10" s="221">
        <f>((C$4-C$7)+(C$4))*0.035/2</f>
        <v>19907.550000000003</v>
      </c>
      <c r="D10" s="221">
        <f>((D$4-D$7)+(D$4))*0.035/2</f>
        <v>39815.100000000006</v>
      </c>
      <c r="E10" s="221">
        <f>((E$4-E$7)+(E$4))*0.035/2</f>
        <v>79630.200000000012</v>
      </c>
      <c r="F10" s="221">
        <f>((F$4-F$7)+(F$4))*0.035/2</f>
        <v>99537.750000000015</v>
      </c>
    </row>
    <row r="11" spans="1:7">
      <c r="A11" s="196" t="s">
        <v>196</v>
      </c>
      <c r="B11" s="221">
        <f>((B$4-B$7)+(B$4-(B$7*2)))*0.035/2</f>
        <v>0</v>
      </c>
      <c r="C11" s="221">
        <f>((C$4-C$7)+(C$4-(C$7*2)))*0.035/2</f>
        <v>16844.849999999999</v>
      </c>
      <c r="D11" s="221">
        <f>((D$4-D$7)+(D$4-(D$7*2)))*0.035/2</f>
        <v>33689.699999999997</v>
      </c>
      <c r="E11" s="221">
        <f>((E$4-E$7)+(E$4-(E$7*2)))*0.035/2</f>
        <v>67379.399999999994</v>
      </c>
      <c r="F11" s="221">
        <f>((F$4-F$7)+(F$4-(F$7*2)))*0.035/2</f>
        <v>84224.25</v>
      </c>
    </row>
    <row r="12" spans="1:7">
      <c r="A12" s="196" t="s">
        <v>197</v>
      </c>
      <c r="B12" s="221">
        <f>((B$4-(B$7*2))+(B$4-(B$7*3)))*0.035/2</f>
        <v>0</v>
      </c>
      <c r="C12" s="221">
        <f>((C$4-(C$7*2))+(C$4-(C$7*3)))*0.035/2</f>
        <v>13782.150000000003</v>
      </c>
      <c r="D12" s="221">
        <f>((D$4-(D$7*2))+(D$4-(D$7*3)))*0.035/2</f>
        <v>27564.300000000007</v>
      </c>
      <c r="E12" s="221">
        <f>((E$4-(E$7*2))+(E$4-(E$7*3)))*0.035/2</f>
        <v>55128.600000000013</v>
      </c>
      <c r="F12" s="221">
        <f>((F$4-(F$7*2))+(F$4-(F$7*3)))*0.035/2</f>
        <v>68910.75</v>
      </c>
      <c r="G12" s="231"/>
    </row>
    <row r="13" spans="1:7">
      <c r="A13" s="196" t="s">
        <v>198</v>
      </c>
      <c r="B13" s="221">
        <f>((B$4-(B$7*3))+(B$4-(B$7*4)))*0.035/2</f>
        <v>0</v>
      </c>
      <c r="C13" s="221">
        <f>((C$4-(C$7*3))+(C$4-(C$7*4)))*0.035/2</f>
        <v>10719.45</v>
      </c>
      <c r="D13" s="221">
        <f>((D$4-(D$7*3))+(D$4-(D$7*4)))*0.035/2</f>
        <v>21438.9</v>
      </c>
      <c r="E13" s="221">
        <f>((E$4-(E$7*3))+(E$4-(E$7*4)))*0.035/2</f>
        <v>42877.8</v>
      </c>
      <c r="F13" s="221">
        <f>((F$4-(F$7*3))+(F$4-(F$7*4)))*0.035/2</f>
        <v>53597.250000000007</v>
      </c>
      <c r="G13" s="231"/>
    </row>
    <row r="14" spans="1:7">
      <c r="A14" s="196" t="s">
        <v>199</v>
      </c>
      <c r="B14" s="221">
        <f>((B$4-(B$7*4))+(B$4-(B$7*5)))*0.035/2</f>
        <v>0</v>
      </c>
      <c r="C14" s="221">
        <f>((C$4-(C$7*4))+(C$4-(C$7*5)))*0.035/2</f>
        <v>7656.75</v>
      </c>
      <c r="D14" s="221">
        <f>((D$4-(D$7*4))+(D$4-(D$7*5)))*0.035/2</f>
        <v>15313.5</v>
      </c>
      <c r="E14" s="221">
        <f>((E$4-(E$7*4))+(E$4-(E$7*5)))*0.035/2</f>
        <v>30627</v>
      </c>
      <c r="F14" s="221">
        <f>((F$4-(F$7*4))+(F$4-(F$7*5)))*0.035/2</f>
        <v>38283.750000000007</v>
      </c>
    </row>
    <row r="15" spans="1:7">
      <c r="A15" s="196" t="s">
        <v>200</v>
      </c>
      <c r="B15" s="221">
        <f>((B$4-(B$7*5))+(B$4-(B$7*6)))*0.035/2</f>
        <v>0</v>
      </c>
      <c r="C15" s="221">
        <f>((C$4-(C$7*5))+(C$4-(C$7*6)))*0.035/2</f>
        <v>4594.05</v>
      </c>
      <c r="D15" s="221">
        <f>((D$4-(D$7*5))+(D$4-(D$7*6)))*0.035/2</f>
        <v>9188.1</v>
      </c>
      <c r="E15" s="221">
        <f>((E$4-(E$7*5))+(E$4-(E$7*6)))*0.035/2</f>
        <v>18376.2</v>
      </c>
      <c r="F15" s="221">
        <f>((F$4-(F$7*5))+(F$4-(F$7*6)))*0.035/2</f>
        <v>22970.25</v>
      </c>
    </row>
    <row r="16" spans="1:7">
      <c r="A16" s="196" t="s">
        <v>201</v>
      </c>
      <c r="B16" s="221">
        <f>((B$4-(B$7*6))+(B$4-(B$7*7)))*0.035/2</f>
        <v>0</v>
      </c>
      <c r="C16" s="221">
        <f>((C$4-(C$7*6))+(C$4-(C$7*7)))*0.035/2</f>
        <v>1531.3500000000008</v>
      </c>
      <c r="D16" s="221">
        <f>((D$4-(D$7*6))+(D$4-(D$7*7)))*0.035/2</f>
        <v>3062.7000000000016</v>
      </c>
      <c r="E16" s="221">
        <f>((E$4-(E$7*6))+(E$4-(E$7*7)))*0.035/2</f>
        <v>6125.4000000000033</v>
      </c>
      <c r="F16" s="221">
        <f>((F$4-(F$7*6))+(F$4-(F$7*7)))*0.035/2</f>
        <v>7656.75</v>
      </c>
    </row>
    <row r="17" spans="1:6">
      <c r="A17" s="196" t="s">
        <v>202</v>
      </c>
      <c r="B17" s="221">
        <f>((B$5-B$8)+(B$5))*0.035/2</f>
        <v>0</v>
      </c>
      <c r="C17" s="221">
        <f>((C$5-C$8)+(C$5))*0.035/2</f>
        <v>130507.20790380002</v>
      </c>
      <c r="D17" s="221">
        <f>((D$5-D$8)+(D$5))*0.035/2</f>
        <v>261014.41580760005</v>
      </c>
      <c r="E17" s="221">
        <f>((E$5-E$8)+(E$5))*0.035/2</f>
        <v>522028.83161520009</v>
      </c>
      <c r="F17" s="221">
        <f>((F$5-F$8)+(F$5))*0.035/2</f>
        <v>652536.0395190001</v>
      </c>
    </row>
    <row r="18" spans="1:6">
      <c r="A18" s="196" t="s">
        <v>203</v>
      </c>
      <c r="B18" s="221">
        <f>((B$5-B$8)+(B$5-(B$8*2)))*0.035/2</f>
        <v>0</v>
      </c>
      <c r="C18" s="221">
        <f>((C$5-C$8)+(C$5-(C$8*2)))*0.035/2</f>
        <v>125180.38309140001</v>
      </c>
      <c r="D18" s="221">
        <f>((D$5-D$8)+(D$5-(D$8*2)))*0.035/2</f>
        <v>250360.76618280003</v>
      </c>
      <c r="E18" s="221">
        <f>((E$5-E$8)+(E$5-(E$8*2)))*0.035/2</f>
        <v>500721.53236560005</v>
      </c>
      <c r="F18" s="221">
        <f>((F$5-F$8)+(F$5-(F$8*2)))*0.035/2</f>
        <v>625901.91545700014</v>
      </c>
    </row>
    <row r="19" spans="1:6">
      <c r="A19" s="196" t="s">
        <v>204</v>
      </c>
      <c r="B19" s="221">
        <f>((B$5-(B$8*2))+(B$5-(B$8*3)))*0.035/2</f>
        <v>0</v>
      </c>
      <c r="C19" s="221">
        <f>((C$5-(C$8*2))+(C$5-(C$8*3)))*0.035/2</f>
        <v>119853.55827900003</v>
      </c>
      <c r="D19" s="221">
        <f>((D$5-(D$8*2))+(D$5-(D$8*3)))*0.035/2</f>
        <v>239707.11655800007</v>
      </c>
      <c r="E19" s="221">
        <f>((E$5-(E$8*2))+(E$5-(E$8*3)))*0.035/2</f>
        <v>479414.23311600013</v>
      </c>
      <c r="F19" s="221">
        <f>((F$5-(F$8*2))+(F$5-(F$8*3)))*0.035/2</f>
        <v>599267.79139500007</v>
      </c>
    </row>
    <row r="20" spans="1:6">
      <c r="A20" s="196" t="s">
        <v>205</v>
      </c>
      <c r="B20" s="221">
        <f>((B$5-(B$8*3))+(B$5-(B$8*4)))*0.035/2</f>
        <v>0</v>
      </c>
      <c r="C20" s="221">
        <f>((C$5-(C$8*3))+(C$5-(C$8*4)))*0.035/2</f>
        <v>114526.73346660002</v>
      </c>
      <c r="D20" s="221">
        <f>((D$5-(D$8*3))+(D$5-(D$8*4)))*0.035/2</f>
        <v>229053.46693320005</v>
      </c>
      <c r="E20" s="221">
        <f>((E$5-(E$8*3))+(E$5-(E$8*4)))*0.035/2</f>
        <v>458106.9338664001</v>
      </c>
      <c r="F20" s="221">
        <f>((F$5-(F$8*3))+(F$5-(F$8*4)))*0.035/2</f>
        <v>572633.66733300011</v>
      </c>
    </row>
    <row r="21" spans="1:6">
      <c r="A21" s="196" t="s">
        <v>206</v>
      </c>
      <c r="B21" s="221">
        <f>((B$5-(B$8*4))+(B$5-(B$8*5)))*0.035/2</f>
        <v>0</v>
      </c>
      <c r="C21" s="221">
        <f>((C$5-(C$8*4))+(C$5-(C$8*5)))*0.035/2</f>
        <v>109199.90865420003</v>
      </c>
      <c r="D21" s="221">
        <f>((D$5-(D$8*4))+(D$5-(D$8*5)))*0.035/2</f>
        <v>218399.81730840006</v>
      </c>
      <c r="E21" s="221">
        <f>((E$5-(E$8*4))+(E$5-(E$8*5)))*0.035/2</f>
        <v>436799.63461680012</v>
      </c>
      <c r="F21" s="221">
        <f>((F$5-(F$8*4))+(F$5-(F$8*5)))*0.035/2</f>
        <v>545999.54327100015</v>
      </c>
    </row>
    <row r="22" spans="1:6">
      <c r="A22" s="196" t="s">
        <v>207</v>
      </c>
      <c r="B22" s="221">
        <f>((B$5-(B$8*5))+(B$5-(B$8*6)))*0.035/2</f>
        <v>0</v>
      </c>
      <c r="C22" s="221">
        <f>((C$5-(C$8*5))+(C$5-(C$8*6)))*0.035/2</f>
        <v>103873.08384180002</v>
      </c>
      <c r="D22" s="221">
        <f>((D$5-(D$8*5))+(D$5-(D$8*6)))*0.035/2</f>
        <v>207746.16768360004</v>
      </c>
      <c r="E22" s="221">
        <f>((E$5-(E$8*5))+(E$5-(E$8*6)))*0.035/2</f>
        <v>415492.33536720008</v>
      </c>
      <c r="F22" s="221">
        <f>((F$5-(F$8*5))+(F$5-(F$8*6)))*0.035/2</f>
        <v>519365.41920900007</v>
      </c>
    </row>
    <row r="23" spans="1:6">
      <c r="A23" s="196" t="s">
        <v>208</v>
      </c>
      <c r="B23" s="221">
        <f>((B$5-(B$8*6))+(B$5-(B$8*7)))*0.035/2</f>
        <v>0</v>
      </c>
      <c r="C23" s="221">
        <f>((C$5-(C$8*6))+(C$5-(C$8*7)))*0.035/2</f>
        <v>98546.259029400011</v>
      </c>
      <c r="D23" s="221">
        <f>((D$5-(D$8*6))+(D$5-(D$8*7)))*0.035/2</f>
        <v>197092.51805880002</v>
      </c>
      <c r="E23" s="221">
        <f>((E$5-(E$8*6))+(E$5-(E$8*7)))*0.035/2</f>
        <v>394185.03611760004</v>
      </c>
      <c r="F23" s="221">
        <f>((F$5-(F$8*6))+(F$5-(F$8*7)))*0.035/2</f>
        <v>492731.29514700006</v>
      </c>
    </row>
    <row r="24" spans="1:6">
      <c r="A24" s="196" t="s">
        <v>209</v>
      </c>
      <c r="B24" s="221">
        <f>((B$5-(B$8*7))+(B$5-(B$8*8)))*0.035/2</f>
        <v>0</v>
      </c>
      <c r="C24" s="221">
        <f>((C$5-(C$8*7))+(C$5-(C$8*8)))*0.035/2</f>
        <v>93219.434217000016</v>
      </c>
      <c r="D24" s="221">
        <f>((D$5-(D$8*7))+(D$5-(D$8*8)))*0.035/2</f>
        <v>186438.86843400003</v>
      </c>
      <c r="E24" s="221">
        <f>((E$5-(E$8*7))+(E$5-(E$8*8)))*0.035/2</f>
        <v>372877.73686800007</v>
      </c>
      <c r="F24" s="221">
        <f>((F$5-(F$8*7))+(F$5-(F$8*8)))*0.035/2</f>
        <v>466097.17108500004</v>
      </c>
    </row>
    <row r="25" spans="1:6">
      <c r="A25" s="196" t="s">
        <v>210</v>
      </c>
      <c r="B25" s="221">
        <f>((B$5-(B$8*8))+(B$5-(B$8*9)))*0.035/2</f>
        <v>0</v>
      </c>
      <c r="C25" s="221">
        <f>((C$5-(C$8*8))+(C$5-(C$8*9)))*0.035/2</f>
        <v>87892.609404600007</v>
      </c>
      <c r="D25" s="221">
        <f>((D$5-(D$8*8))+(D$5-(D$8*9)))*0.035/2</f>
        <v>175785.21880920001</v>
      </c>
      <c r="E25" s="221">
        <f>((E$5-(E$8*8))+(E$5-(E$8*9)))*0.035/2</f>
        <v>351570.43761840003</v>
      </c>
      <c r="F25" s="221">
        <f>((F$5-(F$8*8))+(F$5-(F$8*9)))*0.035/2</f>
        <v>439463.04702300014</v>
      </c>
    </row>
    <row r="26" spans="1:6">
      <c r="A26" s="196" t="s">
        <v>211</v>
      </c>
      <c r="B26" s="221">
        <f>((B$5-(B$8*9))+(B$5-(B$8*10)))*0.035/2</f>
        <v>0</v>
      </c>
      <c r="C26" s="221">
        <f>((C$5-(C$8*9))+(C$5-(C$8*10)))*0.035/2</f>
        <v>82565.784592200012</v>
      </c>
      <c r="D26" s="221">
        <f>((D$5-(D$8*9))+(D$5-(D$8*10)))*0.035/2</f>
        <v>165131.56918440002</v>
      </c>
      <c r="E26" s="221">
        <f>((E$5-(E$8*9))+(E$5-(E$8*10)))*0.035/2</f>
        <v>330263.13836880005</v>
      </c>
      <c r="F26" s="221">
        <f>((F$5-(F$8*9))+(F$5-(F$8*10)))*0.035/2</f>
        <v>412828.92296100012</v>
      </c>
    </row>
    <row r="27" spans="1:6">
      <c r="A27" s="196" t="s">
        <v>212</v>
      </c>
      <c r="B27" s="221">
        <f>((B$5-B$8)+(B$5))*0.035/2</f>
        <v>0</v>
      </c>
      <c r="C27" s="221">
        <f>((C$6-C$9)+(C$6))*0.035/2</f>
        <v>19797.960000000003</v>
      </c>
      <c r="D27" s="221">
        <f>((D$6-D$9)+(D$6))*0.035/2</f>
        <v>19797.960000000003</v>
      </c>
      <c r="E27" s="221">
        <f>((E$6-E$9)+(E$6))*0.035/2</f>
        <v>19797.960000000003</v>
      </c>
      <c r="F27" s="221">
        <f>((F$6-F$9)+(F$6))*0.035/2</f>
        <v>19797.960000000003</v>
      </c>
    </row>
    <row r="28" spans="1:6">
      <c r="A28" s="196" t="s">
        <v>213</v>
      </c>
      <c r="B28" s="221">
        <f>((B$5-B$8)+(B$5-(B$8*2)))*0.035/2</f>
        <v>0</v>
      </c>
      <c r="C28" s="221">
        <f>((C$6-C$9)+(C$6-(C$9*2)))*0.035/2</f>
        <v>18989.88</v>
      </c>
      <c r="D28" s="221">
        <f>((D$6-D$9)+(D$6-(D$9*2)))*0.035/2</f>
        <v>18989.88</v>
      </c>
      <c r="E28" s="221">
        <f>((E$6-E$9)+(E$6-(E$9*2)))*0.035/2</f>
        <v>18989.88</v>
      </c>
      <c r="F28" s="221">
        <f>((F$6-F$9)+(F$6-(F$9*2)))*0.035/2</f>
        <v>18989.88</v>
      </c>
    </row>
    <row r="29" spans="1:6">
      <c r="A29" s="196" t="s">
        <v>214</v>
      </c>
      <c r="B29" s="221">
        <f>((B$5-(B$8*2))+(B$5-(B$8*3)))*0.035/2</f>
        <v>0</v>
      </c>
      <c r="C29" s="221">
        <f>((C$6-(C$9*2))+(C$6-(C$9*3)))*0.035/2</f>
        <v>18181.800000000003</v>
      </c>
      <c r="D29" s="221">
        <f>((D$6-(D$9*2))+(D$6-(D$9*3)))*0.035/2</f>
        <v>18181.800000000003</v>
      </c>
      <c r="E29" s="221">
        <f>((E$6-(E$9*2))+(E$6-(E$9*3)))*0.035/2</f>
        <v>18181.800000000003</v>
      </c>
      <c r="F29" s="221">
        <f>((F$6-(F$9*2))+(F$6-(F$9*3)))*0.035/2</f>
        <v>18181.800000000003</v>
      </c>
    </row>
    <row r="30" spans="1:6">
      <c r="A30" s="196" t="s">
        <v>215</v>
      </c>
      <c r="B30" s="221">
        <f>((B$5-(B$8*3))+(B$5-(B$8*4)))*0.035/2</f>
        <v>0</v>
      </c>
      <c r="C30" s="221">
        <f>((C$6-(C$9*3))+(C$6-(C$9*4)))*0.035/2</f>
        <v>17373.72</v>
      </c>
      <c r="D30" s="221">
        <f>((D$6-(D$9*3))+(D$6-(D$9*4)))*0.035/2</f>
        <v>17373.72</v>
      </c>
      <c r="E30" s="221">
        <f>((E$6-(E$9*3))+(E$6-(E$9*4)))*0.035/2</f>
        <v>17373.72</v>
      </c>
      <c r="F30" s="221">
        <f>((F$6-(F$9*3))+(F$6-(F$9*4)))*0.035/2</f>
        <v>17373.72</v>
      </c>
    </row>
    <row r="31" spans="1:6">
      <c r="A31" s="196" t="s">
        <v>216</v>
      </c>
      <c r="B31" s="221">
        <f>((B$5-(B$8*4))+(B$5-(B$8*5)))*0.035/2</f>
        <v>0</v>
      </c>
      <c r="C31" s="221">
        <f>((C$6-(C$9*4))+(C$6-(C$9*5)))*0.035/2</f>
        <v>16565.640000000003</v>
      </c>
      <c r="D31" s="221">
        <f>((D$6-(D$9*4))+(D$6-(D$9*5)))*0.035/2</f>
        <v>16565.640000000003</v>
      </c>
      <c r="E31" s="221">
        <f>((E$6-(E$9*4))+(E$6-(E$9*5)))*0.035/2</f>
        <v>16565.640000000003</v>
      </c>
      <c r="F31" s="221">
        <f>((F$6-(F$9*4))+(F$6-(F$9*5)))*0.035/2</f>
        <v>16565.640000000003</v>
      </c>
    </row>
    <row r="32" spans="1:6">
      <c r="A32" s="196" t="s">
        <v>217</v>
      </c>
      <c r="B32" s="221">
        <f>((B$5-(B$8*5))+(B$5-(B$8*6)))*0.035/2</f>
        <v>0</v>
      </c>
      <c r="C32" s="221">
        <f>((C$6-(C$9*5))+(C$6-(C$9*6)))*0.035/2</f>
        <v>15757.560000000001</v>
      </c>
      <c r="D32" s="221">
        <f>((D$6-(D$9*5))+(D$6-(D$9*6)))*0.035/2</f>
        <v>15757.560000000001</v>
      </c>
      <c r="E32" s="221">
        <f>((E$6-(E$9*5))+(E$6-(E$9*6)))*0.035/2</f>
        <v>15757.560000000001</v>
      </c>
      <c r="F32" s="221">
        <f>((F$6-(F$9*5))+(F$6-(F$9*6)))*0.035/2</f>
        <v>15757.560000000001</v>
      </c>
    </row>
    <row r="33" spans="1:6">
      <c r="A33" s="196" t="s">
        <v>218</v>
      </c>
      <c r="B33" s="221">
        <f>((B$5-(B$8*6))+(B$5-(B$8*7)))*0.035/2</f>
        <v>0</v>
      </c>
      <c r="C33" s="221">
        <f>((C$6-(C$9*6))+(C$6-(C$9*7)))*0.035/2</f>
        <v>14949.480000000001</v>
      </c>
      <c r="D33" s="221">
        <f>((D$6-(D$9*6))+(D$6-(D$9*7)))*0.035/2</f>
        <v>14949.480000000001</v>
      </c>
      <c r="E33" s="221">
        <f>((E$6-(E$9*6))+(E$6-(E$9*7)))*0.035/2</f>
        <v>14949.480000000001</v>
      </c>
      <c r="F33" s="221">
        <f>((F$6-(F$9*6))+(F$6-(F$9*7)))*0.035/2</f>
        <v>14949.480000000001</v>
      </c>
    </row>
    <row r="34" spans="1:6">
      <c r="A34" s="196" t="s">
        <v>219</v>
      </c>
      <c r="B34" s="221">
        <f>((B$5-(B$8*7))+(B$5-(B$8*8)))*0.035/2</f>
        <v>0</v>
      </c>
      <c r="C34" s="221">
        <f>((C$6-(C$9*7))+(C$6-(C$9*8)))*0.035/2</f>
        <v>14141.400000000001</v>
      </c>
      <c r="D34" s="221">
        <f>((D$6-(D$9*7))+(D$6-(D$9*8)))*0.035/2</f>
        <v>14141.400000000001</v>
      </c>
      <c r="E34" s="221">
        <f>((E$6-(E$9*7))+(E$6-(E$9*8)))*0.035/2</f>
        <v>14141.400000000001</v>
      </c>
      <c r="F34" s="221">
        <f>((F$6-(F$9*7))+(F$6-(F$9*8)))*0.035/2</f>
        <v>14141.400000000001</v>
      </c>
    </row>
    <row r="35" spans="1:6">
      <c r="A35" s="196" t="s">
        <v>220</v>
      </c>
      <c r="B35" s="221">
        <f>((B$5-(B$8*8))+(B$5-(B$8*9)))*0.035/2</f>
        <v>0</v>
      </c>
      <c r="C35" s="221">
        <f>((C$6-(C$9*8))+(C$6-(C$9*9)))*0.035/2</f>
        <v>13333.320000000002</v>
      </c>
      <c r="D35" s="221">
        <f>((D$6-(D$9*8))+(D$6-(D$9*9)))*0.035/2</f>
        <v>13333.320000000002</v>
      </c>
      <c r="E35" s="221">
        <f>((E$6-(E$9*8))+(E$6-(E$9*9)))*0.035/2</f>
        <v>13333.320000000002</v>
      </c>
      <c r="F35" s="221">
        <f>((F$6-(F$9*8))+(F$6-(F$9*9)))*0.035/2</f>
        <v>13333.320000000002</v>
      </c>
    </row>
    <row r="36" spans="1:6">
      <c r="A36" s="196" t="s">
        <v>221</v>
      </c>
      <c r="B36" s="221">
        <f>((B$5-(B$8*9))+(B$5-(B$8*10)))*0.035/2</f>
        <v>0</v>
      </c>
      <c r="C36" s="221">
        <f>((C$6-(C$9*9))+(C$6-(C$9*10)))*0.035/2</f>
        <v>12525.240000000002</v>
      </c>
      <c r="D36" s="221">
        <f>((D$6-(D$9*9))+(D$6-(D$9*10)))*0.035/2</f>
        <v>12525.240000000002</v>
      </c>
      <c r="E36" s="221">
        <f>((E$6-(E$9*9))+(E$6-(E$9*10)))*0.035/2</f>
        <v>12525.240000000002</v>
      </c>
      <c r="F36" s="221">
        <f>((F$6-(F$9*9))+(F$6-(F$9*10)))*0.035/2</f>
        <v>12525.240000000002</v>
      </c>
    </row>
    <row r="38" spans="1:6">
      <c r="A38" s="204" t="s">
        <v>238</v>
      </c>
    </row>
  </sheetData>
  <pageMargins left="0.7" right="0.7" top="0.75" bottom="0.75" header="0.3" footer="0.3"/>
  <pageSetup paperSize="9" orientation="portrait" verticalDpi="0" r:id="rId1"/>
  <ignoredErrors>
    <ignoredError sqref="D5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c96d746-1fe1-44db-aa0a-6c6a7084446f">
      <Terms xmlns="http://schemas.microsoft.com/office/infopath/2007/PartnerControls"/>
    </lcf76f155ced4ddcb4097134ff3c332f>
    <TaxCatchAll xmlns="b56d29e1-4ca8-4217-a036-d434b65cbf8b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FA96970D38A8B498C00C736716CAC9E" ma:contentTypeVersion="10" ma:contentTypeDescription="Create a new document." ma:contentTypeScope="" ma:versionID="71fa77e8434b60d197d4e99f3deeb88e">
  <xsd:schema xmlns:xsd="http://www.w3.org/2001/XMLSchema" xmlns:xs="http://www.w3.org/2001/XMLSchema" xmlns:p="http://schemas.microsoft.com/office/2006/metadata/properties" xmlns:ns2="dc96d746-1fe1-44db-aa0a-6c6a7084446f" xmlns:ns3="b56d29e1-4ca8-4217-a036-d434b65cbf8b" targetNamespace="http://schemas.microsoft.com/office/2006/metadata/properties" ma:root="true" ma:fieldsID="98f3b2c2e96882b43d9ff9b39cd521c6" ns2:_="" ns3:_="">
    <xsd:import namespace="dc96d746-1fe1-44db-aa0a-6c6a7084446f"/>
    <xsd:import namespace="b56d29e1-4ca8-4217-a036-d434b65cbf8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96d746-1fe1-44db-aa0a-6c6a7084446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8246a7d0-ff67-4d2e-9059-37c47f94a5b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6d29e1-4ca8-4217-a036-d434b65cbf8b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bbf4fbe9-423d-459a-972d-d13d59c7be69}" ma:internalName="TaxCatchAll" ma:showField="CatchAllData" ma:web="b56d29e1-4ca8-4217-a036-d434b65cbf8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1D4F139-0ED8-46FB-AC37-872A1F5464DB}">
  <ds:schemaRefs>
    <ds:schemaRef ds:uri="dc96d746-1fe1-44db-aa0a-6c6a7084446f"/>
    <ds:schemaRef ds:uri="http://purl.org/dc/elements/1.1/"/>
    <ds:schemaRef ds:uri="http://purl.org/dc/dcmitype/"/>
    <ds:schemaRef ds:uri="http://purl.org/dc/terms/"/>
    <ds:schemaRef ds:uri="http://schemas.microsoft.com/office/2006/documentManagement/types"/>
    <ds:schemaRef ds:uri="http://schemas.microsoft.com/office/2006/metadata/properties"/>
    <ds:schemaRef ds:uri="b56d29e1-4ca8-4217-a036-d434b65cbf8b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3A3EDE87-3C41-420B-B636-4B22F5586D0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1D0B9DD-DF77-4286-8F6B-2460778AF12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c96d746-1fe1-44db-aa0a-6c6a7084446f"/>
    <ds:schemaRef ds:uri="b56d29e1-4ca8-4217-a036-d434b65cbf8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</vt:i4>
      </vt:variant>
    </vt:vector>
  </HeadingPairs>
  <TitlesOfParts>
    <vt:vector size="11" baseType="lpstr">
      <vt:lpstr>Contents</vt:lpstr>
      <vt:lpstr>1. Instructions</vt:lpstr>
      <vt:lpstr>2. Standing data</vt:lpstr>
      <vt:lpstr>3. Summary</vt:lpstr>
      <vt:lpstr>4. Revenue</vt:lpstr>
      <vt:lpstr>5. Capital</vt:lpstr>
      <vt:lpstr>6. Economic (DCF)</vt:lpstr>
      <vt:lpstr>7a. Income and Activity</vt:lpstr>
      <vt:lpstr>7b. Capital Charges</vt:lpstr>
      <vt:lpstr>Sheet1</vt:lpstr>
      <vt:lpstr>'4. Revenue'!Print_Area</vt:lpstr>
    </vt:vector>
  </TitlesOfParts>
  <Company>NWLH NHS Trust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Dominic Sharp</dc:creator>
  <cp:lastModifiedBy>India Triay Palazuelo</cp:lastModifiedBy>
  <cp:lastPrinted>2020-10-13T08:24:27Z</cp:lastPrinted>
  <dcterms:created xsi:type="dcterms:W3CDTF">2020-07-08T15:20:41Z</dcterms:created>
  <dcterms:modified xsi:type="dcterms:W3CDTF">2023-03-29T16:22:36Z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0x0101003FA96970D38A8B498C00C736716CAC9E</vt:lpwstr>
  </property>
  <property fmtid="{D5CDD505-2E9C-101B-9397-08002B2CF9AE}" pid="3" name="MediaServiceImageTags">
    <vt:lpwstr/>
  </property>
</Properties>
</file>